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Hincesti2015 MODIF_septembr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<sst xmlns="http://schemas.openxmlformats.org/spreadsheetml/2006/main" count="280" uniqueCount="161">
  <si>
    <t>Tabel. Informație privind calcularea bugetului instituțiilor de învățămînt pentru anul 2015</t>
  </si>
  <si>
    <t>per institutie</t>
  </si>
  <si>
    <t>lei</t>
  </si>
  <si>
    <t>2015  proiect - TOTAL TRANSFER PN INVATAMIN RAION - 120463,3 MII LEI</t>
  </si>
  <si>
    <t xml:space="preserve">per elev </t>
  </si>
  <si>
    <t>Transferul total APROBAT de la Bugetul de stat pe a. 2015</t>
  </si>
  <si>
    <t>MII LEI</t>
  </si>
  <si>
    <t xml:space="preserve">Denumirea instituţiei </t>
  </si>
  <si>
    <t>Localitatea</t>
  </si>
  <si>
    <t>Tip instituţie</t>
  </si>
  <si>
    <t>Limba de predare</t>
  </si>
  <si>
    <r>
      <t xml:space="preserve">Nr. efectiv  de elevi       </t>
    </r>
    <r>
      <rPr>
        <b/>
        <sz val="11"/>
        <color indexed="10"/>
        <rFont val="Calibri"/>
        <family val="2"/>
      </rPr>
      <t xml:space="preserve"> cl  I-IV</t>
    </r>
  </si>
  <si>
    <r>
      <t xml:space="preserve">Nr. efectiv  de elevi        </t>
    </r>
    <r>
      <rPr>
        <b/>
        <sz val="11"/>
        <color indexed="10"/>
        <rFont val="Calibri"/>
        <family val="2"/>
      </rPr>
      <t>cl  V-IX</t>
    </r>
  </si>
  <si>
    <r>
      <t xml:space="preserve">Nr. efectiv  de elevi </t>
    </r>
    <r>
      <rPr>
        <b/>
        <sz val="11"/>
        <color indexed="10"/>
        <rFont val="Calibri"/>
        <family val="2"/>
      </rPr>
      <t>cl X-XII</t>
    </r>
  </si>
  <si>
    <r>
      <t xml:space="preserve">Total nr.efectiv de elevi  la </t>
    </r>
    <r>
      <rPr>
        <b/>
        <sz val="11"/>
        <color indexed="10"/>
        <rFont val="Calibri"/>
        <family val="2"/>
      </rPr>
      <t>01.10.2014</t>
    </r>
  </si>
  <si>
    <r>
      <t xml:space="preserve">Numar de elevi ponderați, </t>
    </r>
    <r>
      <rPr>
        <b/>
        <sz val="11"/>
        <color indexed="10"/>
        <rFont val="Calibri"/>
        <family val="2"/>
      </rPr>
      <t>01.10.2014</t>
    </r>
  </si>
  <si>
    <r>
      <t xml:space="preserve">Bugetul calculat în bază de formulă </t>
    </r>
    <r>
      <rPr>
        <b/>
        <sz val="11"/>
        <color indexed="10"/>
        <rFont val="Calibri"/>
        <family val="2"/>
      </rPr>
      <t>(mii lei)</t>
    </r>
  </si>
  <si>
    <r>
      <t xml:space="preserve">Componenta raionala,  3%  - </t>
    </r>
    <r>
      <rPr>
        <b/>
        <u val="single"/>
        <sz val="12"/>
        <rFont val="Calibri"/>
        <family val="2"/>
      </rPr>
      <t xml:space="preserve">10456,0 MII LEI </t>
    </r>
    <r>
      <rPr>
        <b/>
        <sz val="11"/>
        <rFont val="Calibri"/>
        <family val="2"/>
      </rPr>
      <t>- DCR nr. 06/02 din 18.12.2014</t>
    </r>
  </si>
  <si>
    <r>
      <rPr>
        <b/>
        <sz val="10"/>
        <rFont val="Calibri"/>
        <family val="2"/>
      </rPr>
      <t>Repartizarea mijl.financiare din fondul pentru ed. incluzivă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(mii lei), 2% - </t>
    </r>
    <r>
      <rPr>
        <b/>
        <sz val="13"/>
        <color indexed="36"/>
        <rFont val="Calibri"/>
        <family val="2"/>
      </rPr>
      <t>2420,1 MII LEI</t>
    </r>
  </si>
  <si>
    <r>
      <t xml:space="preserve">Bugetul calculat pe bază de formulă, plus componenta raională și alocatiile pentru ed. incluzivă </t>
    </r>
    <r>
      <rPr>
        <b/>
        <sz val="11"/>
        <color indexed="10"/>
        <rFont val="Calibri"/>
        <family val="2"/>
      </rPr>
      <t>(mii lei) -</t>
    </r>
    <r>
      <rPr>
        <b/>
        <sz val="11"/>
        <color indexed="56"/>
        <rFont val="Arial Black"/>
        <family val="2"/>
      </rPr>
      <t xml:space="preserve"> SURSA 3 "T"</t>
    </r>
  </si>
  <si>
    <t>Finanţarea în afara formulei , ALIMENTATIA - 7 lei/zi * 171 zile * nr. Elevi</t>
  </si>
  <si>
    <r>
      <t xml:space="preserve">Bugetul total al instituției  din raion        </t>
    </r>
    <r>
      <rPr>
        <b/>
        <sz val="11"/>
        <color indexed="10"/>
        <rFont val="Calibri"/>
        <family val="2"/>
      </rPr>
      <t>(mii lei)</t>
    </r>
  </si>
  <si>
    <r>
      <t xml:space="preserve">Fondul p/u ed.inclu-zivă - </t>
    </r>
    <r>
      <rPr>
        <b/>
        <u val="single"/>
        <sz val="10"/>
        <color indexed="18"/>
        <rFont val="Calibri"/>
        <family val="2"/>
      </rPr>
      <t>2% - 2420,1 MII LEI</t>
    </r>
  </si>
  <si>
    <r>
      <t xml:space="preserve">Deficitul bugetar estimat </t>
    </r>
    <r>
      <rPr>
        <b/>
        <sz val="11"/>
        <color indexed="10"/>
        <rFont val="Calibri"/>
        <family val="2"/>
      </rPr>
      <t>(mii lei), 2015</t>
    </r>
  </si>
  <si>
    <t xml:space="preserve">din care repartizat la data de </t>
  </si>
  <si>
    <r>
      <t xml:space="preserve">Total         </t>
    </r>
    <r>
      <rPr>
        <b/>
        <sz val="11"/>
        <color indexed="10"/>
        <rFont val="Calibri"/>
        <family val="2"/>
      </rPr>
      <t xml:space="preserve"> (mii lei)</t>
    </r>
  </si>
  <si>
    <t>Transportarea elevilor</t>
  </si>
  <si>
    <t>Caza-rea în cămin</t>
  </si>
  <si>
    <t>Acoperi-rea deficitu-lui bugetar</t>
  </si>
  <si>
    <t>Repara-ții și construcții, lucrari</t>
  </si>
  <si>
    <t>Procu-rări</t>
  </si>
  <si>
    <t>Altele (cofinantarea proiectului)</t>
  </si>
  <si>
    <t>Mijloace nedistribuite</t>
  </si>
  <si>
    <r>
      <t xml:space="preserve">Total          </t>
    </r>
    <r>
      <rPr>
        <b/>
        <sz val="11"/>
        <color indexed="10"/>
        <rFont val="Calibri"/>
        <family val="2"/>
      </rPr>
      <t>(mii lei)</t>
    </r>
  </si>
  <si>
    <r>
      <t xml:space="preserve">Alimentaţia  elevilor    </t>
    </r>
    <r>
      <rPr>
        <sz val="11"/>
        <color indexed="10"/>
        <rFont val="Calibri"/>
        <family val="2"/>
      </rPr>
      <t>cl.I-IV -</t>
    </r>
    <r>
      <rPr>
        <sz val="11"/>
        <rFont val="Arial Black"/>
        <family val="2"/>
      </rPr>
      <t xml:space="preserve"> sursa 3 T</t>
    </r>
  </si>
  <si>
    <r>
      <t xml:space="preserve">Alimentaţia  elevilor   SOCIAL-VULNERABILI </t>
    </r>
    <r>
      <rPr>
        <b/>
        <i/>
        <sz val="10"/>
        <color indexed="10"/>
        <rFont val="Calibri"/>
        <family val="2"/>
      </rPr>
      <t xml:space="preserve">cl.V-IX (DCR nr. 02/03 din 25.03.2015) - 642 mii lei - </t>
    </r>
    <r>
      <rPr>
        <b/>
        <i/>
        <sz val="10"/>
        <rFont val="Arial Black"/>
        <family val="2"/>
      </rPr>
      <t>sursa "0"</t>
    </r>
  </si>
  <si>
    <r>
      <t xml:space="preserve">TABARA CU SEJUR DE ZI (10 instit * 50 mii lei=500 mii lei - pn 100 beneficiari - 10 zile) - </t>
    </r>
    <r>
      <rPr>
        <b/>
        <sz val="9"/>
        <rFont val="Arial Black"/>
        <family val="2"/>
      </rPr>
      <t>sursa 3 T</t>
    </r>
  </si>
  <si>
    <r>
      <t xml:space="preserve">SOLDUL FORMAT LA 31.12.2014 (mijl. Neutilizate - 8091 mii lei) restabilit  (DCR nr. 02/03 din 25.03.2015) - </t>
    </r>
    <r>
      <rPr>
        <b/>
        <sz val="10"/>
        <rFont val="Arial Black"/>
        <family val="2"/>
      </rPr>
      <t>sursa 3 D</t>
    </r>
  </si>
  <si>
    <r>
      <t>Alte venituri  -</t>
    </r>
    <r>
      <rPr>
        <i/>
        <sz val="10"/>
        <color indexed="10"/>
        <rFont val="Calibri"/>
        <family val="2"/>
      </rPr>
      <t xml:space="preserve"> din contul disponibilitatii soldului constituit in urma exec bugetului 2014 (DCR nr. 02/03 din 25.03.2015) -  </t>
    </r>
    <r>
      <rPr>
        <i/>
        <sz val="10"/>
        <rFont val="Arial Black"/>
        <family val="2"/>
      </rPr>
      <t>sursa "0"</t>
    </r>
  </si>
  <si>
    <t>PLANUL precizat la situația din 01.10.2015, mii lei - conf. Dării de seamă pn 9 luni prezentate la DÎnvățămînt</t>
  </si>
  <si>
    <t xml:space="preserve">suma NEPRECIZATA, mii lei </t>
  </si>
  <si>
    <t>22=11+13+21</t>
  </si>
  <si>
    <t>29=22+23</t>
  </si>
  <si>
    <t xml:space="preserve">LT "M. Sadoveanu" </t>
  </si>
  <si>
    <t>Hâncești</t>
  </si>
  <si>
    <t>româna</t>
  </si>
  <si>
    <t>x</t>
  </si>
  <si>
    <t xml:space="preserve">LT "M. Eminescu" </t>
  </si>
  <si>
    <t xml:space="preserve">LT "M. Lomonosov" </t>
  </si>
  <si>
    <t>rusa</t>
  </si>
  <si>
    <t>LT Bobeica</t>
  </si>
  <si>
    <t>Bobeica</t>
  </si>
  <si>
    <t>LT "A. Donici" Ciuciuleni</t>
  </si>
  <si>
    <t>Ciuciuleni</t>
  </si>
  <si>
    <t>LT "Şt. Holban" Cărpineni</t>
  </si>
  <si>
    <t>Cărpineni</t>
  </si>
  <si>
    <t>LT "S. Andreev" Cioara</t>
  </si>
  <si>
    <t>Cioara</t>
  </si>
  <si>
    <t>LT "Dimitrie Cantemir" Crasnoarmeiscoe</t>
  </si>
  <si>
    <t>Crasnoarmeiscoe</t>
  </si>
  <si>
    <t>rom./rusa</t>
  </si>
  <si>
    <t>LT  Lăpuşna</t>
  </si>
  <si>
    <t>Lăpușna</t>
  </si>
  <si>
    <t>LT"Cezar Radu" Leuşeni</t>
  </si>
  <si>
    <t>Leușeni</t>
  </si>
  <si>
    <t>LT  Mingir</t>
  </si>
  <si>
    <t>Mingir</t>
  </si>
  <si>
    <t xml:space="preserve">LT "Universum" </t>
  </si>
  <si>
    <t>Sărata Galbenă</t>
  </si>
  <si>
    <t>Total licee</t>
  </si>
  <si>
    <t xml:space="preserve">GM "M. Viteazul" </t>
  </si>
  <si>
    <t>GM Bălceana</t>
  </si>
  <si>
    <t>Bălceana</t>
  </si>
  <si>
    <t>GM Bozieni</t>
  </si>
  <si>
    <t>Bozieni</t>
  </si>
  <si>
    <t>GM Boghiceni</t>
  </si>
  <si>
    <t>Boghiceni</t>
  </si>
  <si>
    <t>GM Bujor</t>
  </si>
  <si>
    <t>Bujor</t>
  </si>
  <si>
    <t>GM " A. Bunduchi" Buţeni</t>
  </si>
  <si>
    <t>Buțeni</t>
  </si>
  <si>
    <t>GM Călmăţui</t>
  </si>
  <si>
    <t>Călmățui</t>
  </si>
  <si>
    <t>GM Caracui</t>
  </si>
  <si>
    <t>Caracui</t>
  </si>
  <si>
    <t>GM (nr. 2) ”D.Crețu” Cărpineni</t>
  </si>
  <si>
    <t>GM Căţeleni</t>
  </si>
  <si>
    <t>Cățeleni</t>
  </si>
  <si>
    <t>GM Cotul Morii</t>
  </si>
  <si>
    <t>Cotul Morii</t>
  </si>
  <si>
    <t>GM Dancu</t>
  </si>
  <si>
    <t>Dancu</t>
  </si>
  <si>
    <t>GM Drăguşenii Noi</t>
  </si>
  <si>
    <t>Dragușenii Noi</t>
  </si>
  <si>
    <t>GM Fundul-Galbenei</t>
  </si>
  <si>
    <t>Fundul Galbenei</t>
  </si>
  <si>
    <t>GM "K. Evteeva" Ivanovca</t>
  </si>
  <si>
    <t>Ivanovca</t>
  </si>
  <si>
    <t>GM Logăneşti</t>
  </si>
  <si>
    <t>Logănești</t>
  </si>
  <si>
    <t>GM Mireşti</t>
  </si>
  <si>
    <t>Mirești</t>
  </si>
  <si>
    <t>GM Mereşeni</t>
  </si>
  <si>
    <t>Mereșeni</t>
  </si>
  <si>
    <t>GM Nemţeni</t>
  </si>
  <si>
    <t>Nemțeni</t>
  </si>
  <si>
    <t>GM Negrea</t>
  </si>
  <si>
    <t>Negrea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</si>
  <si>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</si>
  <si>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</si>
  <si>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</si>
  <si>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</si>
  <si>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</si>
  <si>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</si>
  <si>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</si>
  <si>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</si>
  <si>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GM Pervomaiscoe</t>
  </si>
  <si>
    <t>Pervomaiscoe</t>
  </si>
  <si>
    <t>GM Pogăneşti</t>
  </si>
  <si>
    <t>Pogănești</t>
  </si>
  <si>
    <t>GM Sofia</t>
  </si>
  <si>
    <t>Sofia</t>
  </si>
  <si>
    <t>GM "Mitropolitul A.Plămădeală"</t>
  </si>
  <si>
    <t>Stolniceni</t>
  </si>
  <si>
    <t>GM "V.Movileanu"</t>
  </si>
  <si>
    <t>Secăreni</t>
  </si>
  <si>
    <t>GM Tălăieşti</t>
  </si>
  <si>
    <t>Tălăiești</t>
  </si>
  <si>
    <t>GM (Topor) nr. 3 Cărpineni</t>
  </si>
  <si>
    <t>GM Voinescu</t>
  </si>
  <si>
    <t>Voinescu</t>
  </si>
  <si>
    <t>Total gimnazii</t>
  </si>
  <si>
    <t>ŞP Mingir</t>
  </si>
  <si>
    <t>ŞP Grădiniţă Fîrlădeni</t>
  </si>
  <si>
    <t>Fîrlădeni</t>
  </si>
  <si>
    <t>ŞP Grădiniţă Horjeşti</t>
  </si>
  <si>
    <t>Horjești</t>
  </si>
  <si>
    <t>ŞP Gr.  Sărata-Mereşeni</t>
  </si>
  <si>
    <t>Sărata Mereșeni</t>
  </si>
  <si>
    <t>ŞP Grădiniţă Şipoteni</t>
  </si>
  <si>
    <t>Șipoteni</t>
  </si>
  <si>
    <t>Total sc.primare</t>
  </si>
  <si>
    <t>Direcția Învățământ Hâncești</t>
  </si>
  <si>
    <t>TOTAL BUGET APROBAT REPARTIZAT,  DCR nr. 06/02 din 18.12.2014</t>
  </si>
  <si>
    <t>MIJLOACE NEDISTRIBUITE</t>
  </si>
  <si>
    <t>Total raion transferuri categoriale</t>
  </si>
  <si>
    <t>49 instituții bugetare publice</t>
  </si>
  <si>
    <t>mii lei</t>
  </si>
  <si>
    <t>Componenta raionala,  3%, DCR nr. 06/02 din 18.12.2014</t>
  </si>
  <si>
    <t>FEI - 2% , DCR nr. 06/02 din 18.12.2014</t>
  </si>
  <si>
    <t>mii lei transfer de la MF pentru alimentatie</t>
  </si>
  <si>
    <t>Comp. raionala,  sold din 2014, DCR nr. 02/03 din 25.03.2015</t>
  </si>
  <si>
    <r>
      <t xml:space="preserve">SOLD COMPONENTA RAIONALA PE ANUL 2014  intra  in soldul de </t>
    </r>
    <r>
      <rPr>
        <b/>
        <i/>
        <u val="single"/>
        <sz val="14"/>
        <color indexed="36"/>
        <rFont val="Calibri"/>
        <family val="2"/>
      </rPr>
      <t>2371,8 lei (conf. indicatiilor DGF)</t>
    </r>
  </si>
  <si>
    <t>COMP.RAIONALA TOTALA PRECIZATA 2015</t>
  </si>
  <si>
    <t>REPARTI-ZARE COMPO-NENTEI RAIONALE 2015</t>
  </si>
  <si>
    <t>DCR NR. 06/02 DIN 18.12.2014</t>
  </si>
  <si>
    <t>REPARTIZARE FONDULUI EDUCATIEI INCLUZIVE 2015</t>
  </si>
  <si>
    <t xml:space="preserve">mii lei </t>
  </si>
  <si>
    <t>DCR NR. 02/03 DIN 25.03.2015</t>
  </si>
  <si>
    <t>DCR NR. 04/03 DIN 22.09.2015</t>
  </si>
  <si>
    <t>SUMA NEDISTRIBUITĂ CR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</si>
</sst>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13"/>
      <color indexed="36"/>
      <name val="Calibri"/>
      <family val="2"/>
    </font>
    <font>
      <b/>
      <sz val="11"/>
      <color indexed="56"/>
      <name val="Arial Black"/>
      <family val="2"/>
    </font>
    <font>
      <b/>
      <u val="single"/>
      <sz val="10"/>
      <color indexed="18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i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Arial Black"/>
      <family val="2"/>
    </font>
    <font>
      <sz val="9"/>
      <name val="Calibri"/>
      <family val="2"/>
    </font>
    <font>
      <b/>
      <sz val="9"/>
      <name val="Arial Black"/>
      <family val="2"/>
    </font>
    <font>
      <b/>
      <sz val="10"/>
      <name val="Arial Black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i/>
      <sz val="10"/>
      <name val="Arial Black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color indexed="30"/>
      <name val="Arial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0"/>
      <name val="Arial"/>
      <family val="2"/>
    </font>
    <font>
      <sz val="11"/>
      <color indexed="8"/>
      <name val="Arial Black"/>
      <family val="2"/>
    </font>
    <font>
      <i/>
      <sz val="11"/>
      <color indexed="8"/>
      <name val="Arial Black"/>
      <family val="2"/>
    </font>
    <font>
      <b/>
      <i/>
      <sz val="10"/>
      <color indexed="56"/>
      <name val="Calibri"/>
      <family val="2"/>
    </font>
    <font>
      <b/>
      <i/>
      <sz val="12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10"/>
      <name val="Calibri"/>
      <family val="2"/>
    </font>
    <font>
      <i/>
      <sz val="12"/>
      <color indexed="36"/>
      <name val="Calibri"/>
      <family val="2"/>
    </font>
    <font>
      <b/>
      <i/>
      <sz val="12"/>
      <color indexed="36"/>
      <name val="Arial"/>
      <family val="2"/>
    </font>
    <font>
      <b/>
      <sz val="12"/>
      <color indexed="56"/>
      <name val="Calibri"/>
      <family val="2"/>
    </font>
    <font>
      <b/>
      <i/>
      <sz val="12"/>
      <color indexed="56"/>
      <name val="Calibri"/>
      <family val="2"/>
    </font>
    <font>
      <b/>
      <i/>
      <sz val="10"/>
      <color indexed="56"/>
      <name val="Arial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sz val="10"/>
      <color indexed="8"/>
      <name val="Times New Roman"/>
      <family val="1"/>
    </font>
    <font>
      <b/>
      <i/>
      <sz val="10"/>
      <color indexed="36"/>
      <name val="Times New Roman"/>
      <family val="1"/>
    </font>
    <font>
      <b/>
      <i/>
      <sz val="10"/>
      <color indexed="36"/>
      <name val="Arial"/>
      <family val="2"/>
    </font>
    <font>
      <b/>
      <sz val="10"/>
      <color indexed="36"/>
      <name val="Calibri"/>
      <family val="2"/>
    </font>
    <font>
      <sz val="12"/>
      <color indexed="36"/>
      <name val="Calibri"/>
      <family val="2"/>
    </font>
    <font>
      <sz val="10"/>
      <name val="Times New Roman"/>
      <family val="1"/>
    </font>
    <font>
      <i/>
      <sz val="11"/>
      <color indexed="10"/>
      <name val="Arial Black"/>
      <family val="2"/>
    </font>
    <font>
      <i/>
      <sz val="10"/>
      <color indexed="8"/>
      <name val="Times New Roman"/>
      <family val="1"/>
    </font>
    <font>
      <b/>
      <sz val="10"/>
      <color indexed="36"/>
      <name val="Arial"/>
      <family val="2"/>
    </font>
    <font>
      <b/>
      <sz val="12"/>
      <color indexed="36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i/>
      <sz val="12"/>
      <color indexed="60"/>
      <name val="Calibri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2"/>
      <color indexed="60"/>
      <name val="Arial"/>
      <family val="2"/>
    </font>
    <font>
      <sz val="11"/>
      <name val="Times New Roman"/>
      <family val="1"/>
    </font>
    <font>
      <b/>
      <u val="single"/>
      <sz val="11"/>
      <color indexed="60"/>
      <name val="Arial"/>
      <family val="2"/>
    </font>
    <font>
      <sz val="11"/>
      <color indexed="36"/>
      <name val="Calibri"/>
      <family val="2"/>
    </font>
    <font>
      <b/>
      <sz val="11"/>
      <color indexed="36"/>
      <name val="Arial"/>
      <family val="2"/>
    </font>
    <font>
      <b/>
      <sz val="13"/>
      <color indexed="60"/>
      <name val="Arial"/>
      <family val="2"/>
    </font>
    <font>
      <b/>
      <sz val="14"/>
      <color indexed="60"/>
      <name val="Calibri"/>
      <family val="2"/>
    </font>
    <font>
      <b/>
      <sz val="13"/>
      <color indexed="60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2"/>
      <color indexed="36"/>
      <name val="Calibri"/>
      <family val="2"/>
    </font>
    <font>
      <b/>
      <sz val="14"/>
      <color indexed="10"/>
      <name val="Calibri"/>
      <family val="2"/>
    </font>
    <font>
      <b/>
      <i/>
      <u val="single"/>
      <sz val="14"/>
      <color indexed="36"/>
      <name val="Calibri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u val="single"/>
      <sz val="10"/>
      <color indexed="18"/>
      <name val="Tahoma"/>
      <family val="2"/>
    </font>
    <font>
      <b/>
      <sz val="9"/>
      <color indexed="18"/>
      <name val="Tahoma"/>
      <family val="2"/>
    </font>
    <font>
      <sz val="9"/>
      <color indexed="60"/>
      <name val="Arial Black"/>
      <family val="2"/>
    </font>
    <font>
      <sz val="11"/>
      <color indexed="60"/>
      <name val="Arial Black"/>
      <family val="2"/>
    </font>
    <font>
      <u val="single"/>
      <sz val="11"/>
      <color indexed="60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2060"/>
      <name val="Arial"/>
      <family val="2"/>
    </font>
    <font>
      <b/>
      <sz val="10"/>
      <color rgb="FF002060"/>
      <name val="Arial"/>
      <family val="2"/>
    </font>
    <font>
      <sz val="12"/>
      <color rgb="FF000000"/>
      <name val="Calibri"/>
      <family val="2"/>
    </font>
    <font>
      <b/>
      <i/>
      <sz val="12"/>
      <color rgb="FF0070C0"/>
      <name val="Arial"/>
      <family val="2"/>
    </font>
    <font>
      <b/>
      <sz val="12"/>
      <color rgb="FF000000"/>
      <name val="Calibri"/>
      <family val="2"/>
    </font>
    <font>
      <b/>
      <sz val="12"/>
      <color theme="5" tint="-0.24997000396251678"/>
      <name val="Calibri"/>
      <family val="2"/>
    </font>
    <font>
      <sz val="12"/>
      <color theme="1"/>
      <name val="Calibri"/>
      <family val="2"/>
    </font>
    <font>
      <sz val="11"/>
      <color theme="1"/>
      <name val="Arial Black"/>
      <family val="2"/>
    </font>
    <font>
      <i/>
      <sz val="11"/>
      <color theme="1"/>
      <name val="Arial Black"/>
      <family val="2"/>
    </font>
    <font>
      <b/>
      <i/>
      <sz val="10"/>
      <color rgb="FF002060"/>
      <name val="Calibri"/>
      <family val="2"/>
    </font>
    <font>
      <b/>
      <i/>
      <sz val="12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FF0000"/>
      <name val="Calibri"/>
      <family val="2"/>
    </font>
    <font>
      <i/>
      <sz val="12"/>
      <color rgb="FF7030A0"/>
      <name val="Calibri"/>
      <family val="2"/>
    </font>
    <font>
      <b/>
      <i/>
      <sz val="12"/>
      <color rgb="FF7030A0"/>
      <name val="Arial"/>
      <family val="2"/>
    </font>
    <font>
      <b/>
      <sz val="12"/>
      <color rgb="FF002060"/>
      <name val="Calibri"/>
      <family val="2"/>
    </font>
    <font>
      <b/>
      <i/>
      <sz val="12"/>
      <color rgb="FF002060"/>
      <name val="Calibri"/>
      <family val="2"/>
    </font>
    <font>
      <b/>
      <i/>
      <sz val="10"/>
      <color rgb="FF002060"/>
      <name val="Arial"/>
      <family val="2"/>
    </font>
    <font>
      <sz val="10"/>
      <color rgb="FFFF0000"/>
      <name val="Calibri"/>
      <family val="2"/>
    </font>
    <font>
      <sz val="10"/>
      <color rgb="FF00000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0"/>
      <color rgb="FF7030A0"/>
      <name val="Arial"/>
      <family val="2"/>
    </font>
    <font>
      <b/>
      <sz val="10"/>
      <color rgb="FF7030A0"/>
      <name val="Calibri"/>
      <family val="2"/>
    </font>
    <font>
      <sz val="12"/>
      <color rgb="FF7030A0"/>
      <name val="Calibri"/>
      <family val="2"/>
    </font>
    <font>
      <i/>
      <sz val="11"/>
      <color rgb="FFFF0000"/>
      <name val="Arial Black"/>
      <family val="2"/>
    </font>
    <font>
      <i/>
      <sz val="10"/>
      <color rgb="FF000000"/>
      <name val="Times New Roman"/>
      <family val="1"/>
    </font>
    <font>
      <b/>
      <sz val="10"/>
      <color rgb="FF7030A0"/>
      <name val="Arial"/>
      <family val="2"/>
    </font>
    <font>
      <b/>
      <sz val="12"/>
      <color rgb="FF60497B"/>
      <name val="Calibri"/>
      <family val="2"/>
    </font>
    <font>
      <b/>
      <sz val="12"/>
      <color theme="7" tint="-0.24997000396251678"/>
      <name val="Calibri"/>
      <family val="2"/>
    </font>
    <font>
      <b/>
      <i/>
      <sz val="12"/>
      <color theme="5" tint="-0.24997000396251678"/>
      <name val="Calibri"/>
      <family val="2"/>
    </font>
    <font>
      <b/>
      <sz val="12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sz val="11"/>
      <color rgb="FF7030A0"/>
      <name val="Calibri"/>
      <family val="2"/>
    </font>
    <font>
      <b/>
      <sz val="11"/>
      <color rgb="FF7030A0"/>
      <name val="Arial"/>
      <family val="2"/>
    </font>
    <font>
      <b/>
      <sz val="13"/>
      <color theme="5" tint="-0.24997000396251678"/>
      <name val="Arial"/>
      <family val="2"/>
    </font>
    <font>
      <b/>
      <sz val="14"/>
      <color theme="5" tint="-0.24997000396251678"/>
      <name val="Calibri"/>
      <family val="2"/>
    </font>
    <font>
      <b/>
      <sz val="13"/>
      <color theme="5" tint="-0.24997000396251678"/>
      <name val="Calibri"/>
      <family val="2"/>
    </font>
    <font>
      <b/>
      <sz val="11"/>
      <color rgb="FFFF0000"/>
      <name val="Times New Roman"/>
      <family val="1"/>
    </font>
    <font>
      <b/>
      <sz val="11"/>
      <color rgb="FF002060"/>
      <name val="Calibri"/>
      <family val="2"/>
    </font>
    <font>
      <b/>
      <sz val="13"/>
      <color rgb="FF00206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12"/>
      <color rgb="FF7030A0"/>
      <name val="Calibri"/>
      <family val="2"/>
    </font>
    <font>
      <b/>
      <sz val="14"/>
      <color rgb="FFFF0000"/>
      <name val="Calibri"/>
      <family val="2"/>
    </font>
    <font>
      <b/>
      <sz val="15"/>
      <color rgb="FF002060"/>
      <name val="Calibri"/>
      <family val="2"/>
    </font>
    <font>
      <b/>
      <sz val="11"/>
      <color theme="3" tint="-0.24997000396251678"/>
      <name val="Calibri"/>
      <family val="2"/>
    </font>
    <font>
      <b/>
      <i/>
      <sz val="10"/>
      <color theme="3" tint="-0.24997000396251678"/>
      <name val="Arial"/>
      <family val="2"/>
    </font>
    <font>
      <b/>
      <u val="single"/>
      <sz val="10"/>
      <color theme="3" tint="-0.24997000396251678"/>
      <name val="Tahoma"/>
      <family val="2"/>
    </font>
    <font>
      <b/>
      <sz val="9"/>
      <color theme="3" tint="-0.24997000396251678"/>
      <name val="Tahoma"/>
      <family val="2"/>
    </font>
    <font>
      <sz val="9"/>
      <color theme="5" tint="-0.24997000396251678"/>
      <name val="Arial Black"/>
      <family val="2"/>
    </font>
    <font>
      <sz val="11"/>
      <color theme="5" tint="-0.24997000396251678"/>
      <name val="Arial Black"/>
      <family val="2"/>
    </font>
    <font>
      <u val="single"/>
      <sz val="11"/>
      <color theme="5" tint="-0.24997000396251678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0" fillId="0" borderId="0" xfId="62">
      <alignment/>
      <protection/>
    </xf>
    <xf numFmtId="0" fontId="19" fillId="0" borderId="0" xfId="33" applyFont="1">
      <alignment/>
      <protection/>
    </xf>
    <xf numFmtId="0" fontId="20" fillId="0" borderId="0" xfId="33" applyFont="1" applyAlignment="1">
      <alignment/>
      <protection/>
    </xf>
    <xf numFmtId="0" fontId="19" fillId="0" borderId="0" xfId="33" applyFont="1" applyAlignment="1">
      <alignment wrapText="1"/>
      <protection/>
    </xf>
    <xf numFmtId="0" fontId="0" fillId="0" borderId="0" xfId="62" applyAlignment="1">
      <alignment vertical="center"/>
      <protection/>
    </xf>
    <xf numFmtId="0" fontId="109" fillId="12" borderId="10" xfId="62" applyFont="1" applyFill="1" applyBorder="1">
      <alignment/>
      <protection/>
    </xf>
    <xf numFmtId="0" fontId="109" fillId="12" borderId="11" xfId="62" applyFont="1" applyFill="1" applyBorder="1">
      <alignment/>
      <protection/>
    </xf>
    <xf numFmtId="0" fontId="0" fillId="12" borderId="11" xfId="62" applyFont="1" applyFill="1" applyBorder="1">
      <alignment/>
      <protection/>
    </xf>
    <xf numFmtId="0" fontId="0" fillId="12" borderId="12" xfId="62" applyFill="1" applyBorder="1">
      <alignment/>
      <protection/>
    </xf>
    <xf numFmtId="0" fontId="0" fillId="12" borderId="13" xfId="62" applyFill="1" applyBorder="1">
      <alignment/>
      <protection/>
    </xf>
    <xf numFmtId="0" fontId="0" fillId="12" borderId="14" xfId="62" applyFill="1" applyBorder="1">
      <alignment/>
      <protection/>
    </xf>
    <xf numFmtId="0" fontId="22" fillId="0" borderId="15" xfId="34" applyFont="1" applyFill="1" applyBorder="1" applyAlignment="1">
      <alignment horizontal="center" vertical="center" wrapText="1"/>
      <protection/>
    </xf>
    <xf numFmtId="0" fontId="22" fillId="0" borderId="16" xfId="34" applyFont="1" applyFill="1" applyBorder="1" applyAlignment="1">
      <alignment horizontal="center" vertical="center" wrapText="1"/>
      <protection/>
    </xf>
    <xf numFmtId="164" fontId="109" fillId="33" borderId="0" xfId="62" applyNumberFormat="1" applyFont="1" applyFill="1">
      <alignment/>
      <protection/>
    </xf>
    <xf numFmtId="0" fontId="109" fillId="12" borderId="17" xfId="62" applyFont="1" applyFill="1" applyBorder="1">
      <alignment/>
      <protection/>
    </xf>
    <xf numFmtId="0" fontId="109" fillId="12" borderId="18" xfId="62" applyFont="1" applyFill="1" applyBorder="1">
      <alignment/>
      <protection/>
    </xf>
    <xf numFmtId="3" fontId="0" fillId="12" borderId="18" xfId="62" applyNumberFormat="1" applyFont="1" applyFill="1" applyBorder="1">
      <alignment/>
      <protection/>
    </xf>
    <xf numFmtId="164" fontId="118" fillId="12" borderId="17" xfId="39" applyNumberFormat="1" applyFont="1" applyFill="1" applyBorder="1" applyAlignment="1">
      <alignment horizontal="center"/>
      <protection/>
    </xf>
    <xf numFmtId="164" fontId="118" fillId="12" borderId="16" xfId="39" applyNumberFormat="1" applyFont="1" applyFill="1" applyBorder="1" applyAlignment="1">
      <alignment horizontal="center"/>
      <protection/>
    </xf>
    <xf numFmtId="164" fontId="118" fillId="12" borderId="19" xfId="39" applyNumberFormat="1" applyFont="1" applyFill="1" applyBorder="1" applyAlignment="1">
      <alignment horizontal="center"/>
      <protection/>
    </xf>
    <xf numFmtId="164" fontId="119" fillId="12" borderId="15" xfId="62" applyNumberFormat="1" applyFont="1" applyFill="1" applyBorder="1">
      <alignment/>
      <protection/>
    </xf>
    <xf numFmtId="0" fontId="0" fillId="12" borderId="18" xfId="62" applyFont="1" applyFill="1" applyBorder="1">
      <alignment/>
      <protection/>
    </xf>
    <xf numFmtId="0" fontId="0" fillId="0" borderId="20" xfId="62" applyBorder="1" applyAlignment="1">
      <alignment horizontal="center"/>
      <protection/>
    </xf>
    <xf numFmtId="0" fontId="25" fillId="0" borderId="21" xfId="39" applyFont="1" applyBorder="1" applyAlignment="1">
      <alignment horizontal="center" wrapText="1"/>
      <protection/>
    </xf>
    <xf numFmtId="0" fontId="25" fillId="0" borderId="22" xfId="39" applyFont="1" applyBorder="1" applyAlignment="1">
      <alignment horizontal="center" vertical="center" wrapText="1"/>
      <protection/>
    </xf>
    <xf numFmtId="0" fontId="25" fillId="0" borderId="23" xfId="39" applyFont="1" applyBorder="1" applyAlignment="1">
      <alignment horizontal="center" vertical="center" wrapText="1"/>
      <protection/>
    </xf>
    <xf numFmtId="0" fontId="25" fillId="0" borderId="24" xfId="39" applyFont="1" applyBorder="1" applyAlignment="1">
      <alignment horizontal="center" vertical="center" wrapText="1"/>
      <protection/>
    </xf>
    <xf numFmtId="0" fontId="25" fillId="0" borderId="25" xfId="39" applyFont="1" applyBorder="1" applyAlignment="1">
      <alignment horizontal="center" vertical="center" wrapText="1"/>
      <protection/>
    </xf>
    <xf numFmtId="0" fontId="25" fillId="0" borderId="13" xfId="39" applyFont="1" applyBorder="1" applyAlignment="1">
      <alignment horizontal="center" vertical="center" wrapText="1"/>
      <protection/>
    </xf>
    <xf numFmtId="0" fontId="25" fillId="34" borderId="25" xfId="62" applyFont="1" applyFill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center" vertical="center"/>
      <protection/>
    </xf>
    <xf numFmtId="0" fontId="25" fillId="0" borderId="26" xfId="62" applyFont="1" applyBorder="1" applyAlignment="1">
      <alignment horizontal="center" vertical="center"/>
      <protection/>
    </xf>
    <xf numFmtId="0" fontId="25" fillId="35" borderId="27" xfId="62" applyFont="1" applyFill="1" applyBorder="1" applyAlignment="1">
      <alignment horizontal="center" vertical="center" wrapText="1"/>
      <protection/>
    </xf>
    <xf numFmtId="0" fontId="25" fillId="0" borderId="14" xfId="62" applyFont="1" applyBorder="1" applyAlignment="1">
      <alignment horizontal="center" vertical="center" wrapText="1"/>
      <protection/>
    </xf>
    <xf numFmtId="0" fontId="25" fillId="35" borderId="12" xfId="39" applyFont="1" applyFill="1" applyBorder="1" applyAlignment="1">
      <alignment horizontal="center" vertical="center" wrapText="1"/>
      <protection/>
    </xf>
    <xf numFmtId="0" fontId="25" fillId="35" borderId="13" xfId="39" applyFont="1" applyFill="1" applyBorder="1" applyAlignment="1">
      <alignment horizontal="center" vertical="center" wrapText="1"/>
      <protection/>
    </xf>
    <xf numFmtId="0" fontId="25" fillId="35" borderId="14" xfId="39" applyFont="1" applyFill="1" applyBorder="1" applyAlignment="1">
      <alignment horizontal="center" vertical="center" wrapText="1"/>
      <protection/>
    </xf>
    <xf numFmtId="0" fontId="25" fillId="0" borderId="25" xfId="62" applyFont="1" applyBorder="1" applyAlignment="1">
      <alignment horizontal="center" vertical="center" wrapText="1"/>
      <protection/>
    </xf>
    <xf numFmtId="0" fontId="28" fillId="0" borderId="25" xfId="62" applyFont="1" applyBorder="1" applyAlignment="1">
      <alignment horizontal="center" vertical="center" wrapText="1"/>
      <protection/>
    </xf>
    <xf numFmtId="0" fontId="0" fillId="0" borderId="28" xfId="62" applyBorder="1" applyAlignment="1">
      <alignment horizontal="center"/>
      <protection/>
    </xf>
    <xf numFmtId="0" fontId="25" fillId="0" borderId="29" xfId="39" applyFont="1" applyBorder="1" applyAlignment="1">
      <alignment horizontal="center" wrapText="1"/>
      <protection/>
    </xf>
    <xf numFmtId="0" fontId="25" fillId="0" borderId="30" xfId="39" applyFont="1" applyBorder="1" applyAlignment="1">
      <alignment horizontal="center" vertical="center" wrapText="1"/>
      <protection/>
    </xf>
    <xf numFmtId="0" fontId="25" fillId="0" borderId="31" xfId="39" applyFont="1" applyBorder="1" applyAlignment="1">
      <alignment horizontal="center" vertical="center" wrapText="1"/>
      <protection/>
    </xf>
    <xf numFmtId="0" fontId="0" fillId="0" borderId="31" xfId="62" applyFont="1" applyBorder="1" applyAlignment="1">
      <alignment vertical="center"/>
      <protection/>
    </xf>
    <xf numFmtId="0" fontId="0" fillId="0" borderId="32" xfId="62" applyFont="1" applyBorder="1" applyAlignment="1">
      <alignment vertical="center"/>
      <protection/>
    </xf>
    <xf numFmtId="0" fontId="0" fillId="0" borderId="33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25" fillId="34" borderId="33" xfId="62" applyFont="1" applyFill="1" applyBorder="1" applyAlignment="1">
      <alignment horizontal="center" vertical="center" wrapText="1"/>
      <protection/>
    </xf>
    <xf numFmtId="0" fontId="25" fillId="0" borderId="12" xfId="62" applyFont="1" applyBorder="1" applyAlignment="1">
      <alignment horizontal="center" vertical="center" wrapText="1"/>
      <protection/>
    </xf>
    <xf numFmtId="0" fontId="32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25" fillId="35" borderId="35" xfId="62" applyFont="1" applyFill="1" applyBorder="1" applyAlignment="1">
      <alignment horizontal="center" vertical="center" wrapText="1"/>
      <protection/>
    </xf>
    <xf numFmtId="0" fontId="25" fillId="0" borderId="36" xfId="62" applyFont="1" applyBorder="1" applyAlignment="1">
      <alignment horizontal="center" vertical="center" wrapText="1"/>
      <protection/>
    </xf>
    <xf numFmtId="0" fontId="25" fillId="35" borderId="17" xfId="39" applyFont="1" applyFill="1" applyBorder="1" applyAlignment="1">
      <alignment horizontal="center" vertical="center" wrapText="1"/>
      <protection/>
    </xf>
    <xf numFmtId="0" fontId="25" fillId="35" borderId="16" xfId="39" applyFont="1" applyFill="1" applyBorder="1" applyAlignment="1">
      <alignment horizontal="center" vertical="center" wrapText="1"/>
      <protection/>
    </xf>
    <xf numFmtId="0" fontId="25" fillId="35" borderId="18" xfId="39" applyFont="1" applyFill="1" applyBorder="1" applyAlignment="1">
      <alignment horizontal="center" vertical="center" wrapText="1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8" fillId="0" borderId="33" xfId="62" applyFont="1" applyBorder="1" applyAlignment="1">
      <alignment horizontal="center" vertical="center" wrapText="1"/>
      <protection/>
    </xf>
    <xf numFmtId="0" fontId="0" fillId="0" borderId="37" xfId="62" applyBorder="1" applyAlignment="1">
      <alignment horizontal="center"/>
      <protection/>
    </xf>
    <xf numFmtId="0" fontId="25" fillId="0" borderId="38" xfId="39" applyFont="1" applyBorder="1" applyAlignment="1">
      <alignment horizontal="center" wrapText="1"/>
      <protection/>
    </xf>
    <xf numFmtId="0" fontId="0" fillId="0" borderId="39" xfId="62" applyFont="1" applyBorder="1" applyAlignment="1">
      <alignment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25" fillId="0" borderId="41" xfId="62" applyFont="1" applyBorder="1" applyAlignment="1">
      <alignment horizontal="center" vertical="center" wrapText="1"/>
      <protection/>
    </xf>
    <xf numFmtId="0" fontId="32" fillId="35" borderId="23" xfId="62" applyFont="1" applyFill="1" applyBorder="1" applyAlignment="1">
      <alignment horizontal="center" vertical="center" wrapText="1"/>
      <protection/>
    </xf>
    <xf numFmtId="0" fontId="32" fillId="35" borderId="42" xfId="62" applyFont="1" applyFill="1" applyBorder="1" applyAlignment="1">
      <alignment horizontal="center" vertical="center" wrapText="1"/>
      <protection/>
    </xf>
    <xf numFmtId="0" fontId="32" fillId="35" borderId="43" xfId="62" applyFont="1" applyFill="1" applyBorder="1" applyAlignment="1">
      <alignment horizontal="center" vertical="center" wrapText="1"/>
      <protection/>
    </xf>
    <xf numFmtId="0" fontId="25" fillId="0" borderId="22" xfId="62" applyFont="1" applyBorder="1" applyAlignment="1">
      <alignment horizontal="center" vertical="center" wrapText="1"/>
      <protection/>
    </xf>
    <xf numFmtId="0" fontId="32" fillId="35" borderId="23" xfId="39" applyFont="1" applyFill="1" applyBorder="1" applyAlignment="1">
      <alignment horizontal="center" vertical="center" wrapText="1"/>
      <protection/>
    </xf>
    <xf numFmtId="0" fontId="34" fillId="35" borderId="23" xfId="39" applyFont="1" applyFill="1" applyBorder="1" applyAlignment="1">
      <alignment horizontal="center" vertical="center" wrapText="1"/>
      <protection/>
    </xf>
    <xf numFmtId="0" fontId="37" fillId="35" borderId="24" xfId="39" applyFont="1" applyFill="1" applyBorder="1" applyAlignment="1">
      <alignment horizontal="center" vertical="center" wrapText="1"/>
      <protection/>
    </xf>
    <xf numFmtId="0" fontId="28" fillId="35" borderId="23" xfId="39" applyFont="1" applyFill="1" applyBorder="1" applyAlignment="1">
      <alignment horizontal="center" vertical="center" wrapText="1"/>
      <protection/>
    </xf>
    <xf numFmtId="0" fontId="40" fillId="35" borderId="24" xfId="39" applyFont="1" applyFill="1" applyBorder="1" applyAlignment="1">
      <alignment horizontal="center" vertical="center" wrapText="1"/>
      <protection/>
    </xf>
    <xf numFmtId="0" fontId="28" fillId="0" borderId="40" xfId="62" applyFont="1" applyBorder="1" applyAlignment="1">
      <alignment horizontal="center" vertical="center" wrapText="1"/>
      <protection/>
    </xf>
    <xf numFmtId="2" fontId="0" fillId="0" borderId="29" xfId="62" applyNumberFormat="1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43" fillId="0" borderId="44" xfId="62" applyFont="1" applyBorder="1" applyAlignment="1">
      <alignment horizontal="center" vertical="center"/>
      <protection/>
    </xf>
    <xf numFmtId="0" fontId="43" fillId="0" borderId="45" xfId="62" applyFont="1" applyBorder="1" applyAlignment="1">
      <alignment horizontal="center" vertical="center" wrapText="1"/>
      <protection/>
    </xf>
    <xf numFmtId="0" fontId="43" fillId="0" borderId="45" xfId="62" applyFont="1" applyBorder="1" applyAlignment="1">
      <alignment horizontal="center" vertical="center"/>
      <protection/>
    </xf>
    <xf numFmtId="0" fontId="43" fillId="0" borderId="46" xfId="62" applyFont="1" applyBorder="1" applyAlignment="1">
      <alignment horizontal="center" vertical="center" wrapText="1"/>
      <protection/>
    </xf>
    <xf numFmtId="0" fontId="43" fillId="34" borderId="47" xfId="62" applyFont="1" applyFill="1" applyBorder="1" applyAlignment="1">
      <alignment horizontal="center" vertical="center" wrapText="1"/>
      <protection/>
    </xf>
    <xf numFmtId="0" fontId="43" fillId="0" borderId="10" xfId="62" applyFont="1" applyBorder="1" applyAlignment="1">
      <alignment horizontal="center" vertical="center" wrapText="1"/>
      <protection/>
    </xf>
    <xf numFmtId="0" fontId="43" fillId="0" borderId="44" xfId="62" applyFont="1" applyBorder="1" applyAlignment="1">
      <alignment horizontal="center" vertical="center" wrapText="1"/>
      <protection/>
    </xf>
    <xf numFmtId="0" fontId="43" fillId="0" borderId="48" xfId="62" applyFont="1" applyBorder="1" applyAlignment="1">
      <alignment horizontal="center" vertical="center" wrapText="1"/>
      <protection/>
    </xf>
    <xf numFmtId="0" fontId="43" fillId="0" borderId="11" xfId="62" applyFont="1" applyBorder="1" applyAlignment="1">
      <alignment horizontal="center" vertical="center" wrapText="1"/>
      <protection/>
    </xf>
    <xf numFmtId="0" fontId="43" fillId="0" borderId="39" xfId="62" applyFont="1" applyBorder="1" applyAlignment="1">
      <alignment horizontal="center" vertical="center" wrapText="1"/>
      <protection/>
    </xf>
    <xf numFmtId="0" fontId="43" fillId="0" borderId="11" xfId="62" applyFont="1" applyBorder="1" applyAlignment="1">
      <alignment horizontal="center" vertical="center"/>
      <protection/>
    </xf>
    <xf numFmtId="0" fontId="43" fillId="0" borderId="49" xfId="62" applyFont="1" applyBorder="1" applyAlignment="1">
      <alignment horizontal="center" vertical="center" wrapText="1"/>
      <protection/>
    </xf>
    <xf numFmtId="0" fontId="43" fillId="0" borderId="47" xfId="62" applyFont="1" applyBorder="1" applyAlignment="1">
      <alignment horizontal="center" vertical="center" wrapText="1"/>
      <protection/>
    </xf>
    <xf numFmtId="0" fontId="0" fillId="0" borderId="29" xfId="62" applyBorder="1" applyAlignment="1">
      <alignment horizontal="center" vertical="center" wrapText="1"/>
      <protection/>
    </xf>
    <xf numFmtId="3" fontId="40" fillId="0" borderId="20" xfId="39" applyNumberFormat="1" applyFont="1" applyFill="1" applyBorder="1" applyAlignment="1">
      <alignment horizontal="center"/>
      <protection/>
    </xf>
    <xf numFmtId="0" fontId="120" fillId="0" borderId="21" xfId="62" applyFont="1" applyBorder="1" applyAlignment="1">
      <alignment wrapText="1"/>
      <protection/>
    </xf>
    <xf numFmtId="3" fontId="45" fillId="0" borderId="21" xfId="39" applyNumberFormat="1" applyFont="1" applyFill="1" applyBorder="1" applyAlignment="1">
      <alignment horizontal="left"/>
      <protection/>
    </xf>
    <xf numFmtId="3" fontId="40" fillId="0" borderId="21" xfId="39" applyNumberFormat="1" applyFont="1" applyFill="1" applyBorder="1">
      <alignment/>
      <protection/>
    </xf>
    <xf numFmtId="0" fontId="40" fillId="0" borderId="21" xfId="62" applyFont="1" applyBorder="1">
      <alignment/>
      <protection/>
    </xf>
    <xf numFmtId="0" fontId="45" fillId="0" borderId="21" xfId="62" applyFont="1" applyBorder="1">
      <alignment/>
      <protection/>
    </xf>
    <xf numFmtId="0" fontId="46" fillId="0" borderId="21" xfId="62" applyFont="1" applyBorder="1">
      <alignment/>
      <protection/>
    </xf>
    <xf numFmtId="0" fontId="121" fillId="36" borderId="10" xfId="62" applyFont="1" applyFill="1" applyBorder="1" applyAlignment="1">
      <alignment/>
      <protection/>
    </xf>
    <xf numFmtId="0" fontId="122" fillId="34" borderId="47" xfId="62" applyFont="1" applyFill="1" applyBorder="1" applyAlignment="1">
      <alignment/>
      <protection/>
    </xf>
    <xf numFmtId="164" fontId="48" fillId="0" borderId="50" xfId="39" applyNumberFormat="1" applyFont="1" applyFill="1" applyBorder="1" applyAlignment="1">
      <alignment horizontal="center"/>
      <protection/>
    </xf>
    <xf numFmtId="164" fontId="48" fillId="0" borderId="20" xfId="39" applyNumberFormat="1" applyFont="1" applyFill="1" applyBorder="1">
      <alignment/>
      <protection/>
    </xf>
    <xf numFmtId="164" fontId="45" fillId="0" borderId="21" xfId="39" applyNumberFormat="1" applyFont="1" applyFill="1" applyBorder="1">
      <alignment/>
      <protection/>
    </xf>
    <xf numFmtId="164" fontId="123" fillId="0" borderId="21" xfId="39" applyNumberFormat="1" applyFont="1" applyFill="1" applyBorder="1">
      <alignment/>
      <protection/>
    </xf>
    <xf numFmtId="164" fontId="45" fillId="0" borderId="51" xfId="39" applyNumberFormat="1" applyFont="1" applyFill="1" applyBorder="1">
      <alignment/>
      <protection/>
    </xf>
    <xf numFmtId="164" fontId="45" fillId="0" borderId="34" xfId="39" applyNumberFormat="1" applyFont="1" applyFill="1" applyBorder="1">
      <alignment/>
      <protection/>
    </xf>
    <xf numFmtId="165" fontId="124" fillId="0" borderId="35" xfId="62" applyNumberFormat="1" applyFont="1" applyBorder="1">
      <alignment/>
      <protection/>
    </xf>
    <xf numFmtId="164" fontId="48" fillId="0" borderId="52" xfId="39" applyNumberFormat="1" applyFont="1" applyFill="1" applyBorder="1">
      <alignment/>
      <protection/>
    </xf>
    <xf numFmtId="165" fontId="48" fillId="0" borderId="53" xfId="39" applyNumberFormat="1" applyFont="1" applyFill="1" applyBorder="1">
      <alignment/>
      <protection/>
    </xf>
    <xf numFmtId="165" fontId="46" fillId="35" borderId="54" xfId="39" applyNumberFormat="1" applyFont="1" applyFill="1" applyBorder="1">
      <alignment/>
      <protection/>
    </xf>
    <xf numFmtId="165" fontId="18" fillId="0" borderId="54" xfId="39" applyNumberFormat="1" applyFont="1" applyFill="1" applyBorder="1">
      <alignment/>
      <protection/>
    </xf>
    <xf numFmtId="165" fontId="18" fillId="0" borderId="55" xfId="39" applyNumberFormat="1" applyFont="1" applyFill="1" applyBorder="1">
      <alignment/>
      <protection/>
    </xf>
    <xf numFmtId="165" fontId="48" fillId="0" borderId="50" xfId="39" applyNumberFormat="1" applyFont="1" applyFill="1" applyBorder="1">
      <alignment/>
      <protection/>
    </xf>
    <xf numFmtId="3" fontId="50" fillId="0" borderId="56" xfId="39" applyNumberFormat="1" applyFont="1" applyFill="1" applyBorder="1" applyAlignment="1">
      <alignment horizontal="center"/>
      <protection/>
    </xf>
    <xf numFmtId="165" fontId="125" fillId="34" borderId="29" xfId="62" applyNumberFormat="1" applyFont="1" applyFill="1" applyBorder="1" applyAlignment="1">
      <alignment vertical="center" wrapText="1"/>
      <protection/>
    </xf>
    <xf numFmtId="165" fontId="126" fillId="34" borderId="29" xfId="62" applyNumberFormat="1" applyFont="1" applyFill="1" applyBorder="1" applyAlignment="1">
      <alignment horizontal="right" vertical="center" wrapText="1"/>
      <protection/>
    </xf>
    <xf numFmtId="3" fontId="40" fillId="0" borderId="28" xfId="39" applyNumberFormat="1" applyFont="1" applyFill="1" applyBorder="1" applyAlignment="1">
      <alignment horizontal="center"/>
      <protection/>
    </xf>
    <xf numFmtId="0" fontId="120" fillId="0" borderId="29" xfId="62" applyFont="1" applyBorder="1" applyAlignment="1">
      <alignment wrapText="1"/>
      <protection/>
    </xf>
    <xf numFmtId="3" fontId="45" fillId="0" borderId="29" xfId="39" applyNumberFormat="1" applyFont="1" applyFill="1" applyBorder="1" applyAlignment="1">
      <alignment horizontal="left"/>
      <protection/>
    </xf>
    <xf numFmtId="3" fontId="40" fillId="0" borderId="29" xfId="39" applyNumberFormat="1" applyFont="1" applyFill="1" applyBorder="1">
      <alignment/>
      <protection/>
    </xf>
    <xf numFmtId="0" fontId="40" fillId="0" borderId="29" xfId="62" applyFont="1" applyBorder="1">
      <alignment/>
      <protection/>
    </xf>
    <xf numFmtId="0" fontId="45" fillId="0" borderId="29" xfId="62" applyFont="1" applyBorder="1">
      <alignment/>
      <protection/>
    </xf>
    <xf numFmtId="0" fontId="46" fillId="0" borderId="29" xfId="62" applyFont="1" applyBorder="1">
      <alignment/>
      <protection/>
    </xf>
    <xf numFmtId="0" fontId="121" fillId="36" borderId="17" xfId="62" applyFont="1" applyFill="1" applyBorder="1" applyAlignment="1">
      <alignment/>
      <protection/>
    </xf>
    <xf numFmtId="0" fontId="122" fillId="34" borderId="39" xfId="62" applyFont="1" applyFill="1" applyBorder="1" applyAlignment="1">
      <alignment/>
      <protection/>
    </xf>
    <xf numFmtId="164" fontId="48" fillId="0" borderId="57" xfId="39" applyNumberFormat="1" applyFont="1" applyFill="1" applyBorder="1">
      <alignment/>
      <protection/>
    </xf>
    <xf numFmtId="164" fontId="45" fillId="0" borderId="54" xfId="39" applyNumberFormat="1" applyFont="1" applyFill="1" applyBorder="1">
      <alignment/>
      <protection/>
    </xf>
    <xf numFmtId="164" fontId="123" fillId="0" borderId="54" xfId="39" applyNumberFormat="1" applyFont="1" applyFill="1" applyBorder="1">
      <alignment/>
      <protection/>
    </xf>
    <xf numFmtId="164" fontId="45" fillId="0" borderId="58" xfId="39" applyNumberFormat="1" applyFont="1" applyFill="1" applyBorder="1">
      <alignment/>
      <protection/>
    </xf>
    <xf numFmtId="164" fontId="45" fillId="0" borderId="52" xfId="39" applyNumberFormat="1" applyFont="1" applyFill="1" applyBorder="1">
      <alignment/>
      <protection/>
    </xf>
    <xf numFmtId="165" fontId="18" fillId="0" borderId="29" xfId="39" applyNumberFormat="1" applyFont="1" applyFill="1" applyBorder="1">
      <alignment/>
      <protection/>
    </xf>
    <xf numFmtId="165" fontId="18" fillId="0" borderId="59" xfId="39" applyNumberFormat="1" applyFont="1" applyFill="1" applyBorder="1">
      <alignment/>
      <protection/>
    </xf>
    <xf numFmtId="3" fontId="50" fillId="0" borderId="60" xfId="39" applyNumberFormat="1" applyFont="1" applyFill="1" applyBorder="1" applyAlignment="1">
      <alignment horizontal="center"/>
      <protection/>
    </xf>
    <xf numFmtId="3" fontId="127" fillId="0" borderId="28" xfId="39" applyNumberFormat="1" applyFont="1" applyFill="1" applyBorder="1" applyAlignment="1">
      <alignment horizontal="center"/>
      <protection/>
    </xf>
    <xf numFmtId="0" fontId="128" fillId="0" borderId="29" xfId="62" applyFont="1" applyBorder="1" applyAlignment="1">
      <alignment wrapText="1"/>
      <protection/>
    </xf>
    <xf numFmtId="3" fontId="128" fillId="0" borderId="29" xfId="39" applyNumberFormat="1" applyFont="1" applyFill="1" applyBorder="1" applyAlignment="1">
      <alignment horizontal="left"/>
      <protection/>
    </xf>
    <xf numFmtId="3" fontId="129" fillId="0" borderId="29" xfId="39" applyNumberFormat="1" applyFont="1" applyFill="1" applyBorder="1">
      <alignment/>
      <protection/>
    </xf>
    <xf numFmtId="0" fontId="130" fillId="0" borderId="29" xfId="62" applyFont="1" applyBorder="1">
      <alignment/>
      <protection/>
    </xf>
    <xf numFmtId="0" fontId="131" fillId="0" borderId="29" xfId="62" applyFont="1" applyBorder="1">
      <alignment/>
      <protection/>
    </xf>
    <xf numFmtId="0" fontId="132" fillId="36" borderId="17" xfId="62" applyFont="1" applyFill="1" applyBorder="1" applyAlignment="1">
      <alignment/>
      <protection/>
    </xf>
    <xf numFmtId="0" fontId="128" fillId="34" borderId="39" xfId="62" applyFont="1" applyFill="1" applyBorder="1" applyAlignment="1">
      <alignment/>
      <protection/>
    </xf>
    <xf numFmtId="164" fontId="133" fillId="0" borderId="57" xfId="39" applyNumberFormat="1" applyFont="1" applyFill="1" applyBorder="1">
      <alignment/>
      <protection/>
    </xf>
    <xf numFmtId="164" fontId="133" fillId="0" borderId="54" xfId="39" applyNumberFormat="1" applyFont="1" applyFill="1" applyBorder="1">
      <alignment/>
      <protection/>
    </xf>
    <xf numFmtId="164" fontId="133" fillId="0" borderId="58" xfId="39" applyNumberFormat="1" applyFont="1" applyFill="1" applyBorder="1">
      <alignment/>
      <protection/>
    </xf>
    <xf numFmtId="164" fontId="133" fillId="0" borderId="52" xfId="39" applyNumberFormat="1" applyFont="1" applyFill="1" applyBorder="1">
      <alignment/>
      <protection/>
    </xf>
    <xf numFmtId="165" fontId="134" fillId="0" borderId="35" xfId="62" applyNumberFormat="1" applyFont="1" applyFill="1" applyBorder="1">
      <alignment/>
      <protection/>
    </xf>
    <xf numFmtId="165" fontId="133" fillId="0" borderId="53" xfId="39" applyNumberFormat="1" applyFont="1" applyFill="1" applyBorder="1">
      <alignment/>
      <protection/>
    </xf>
    <xf numFmtId="165" fontId="135" fillId="35" borderId="29" xfId="39" applyNumberFormat="1" applyFont="1" applyFill="1" applyBorder="1">
      <alignment/>
      <protection/>
    </xf>
    <xf numFmtId="165" fontId="135" fillId="35" borderId="59" xfId="39" applyNumberFormat="1" applyFont="1" applyFill="1" applyBorder="1">
      <alignment/>
      <protection/>
    </xf>
    <xf numFmtId="165" fontId="133" fillId="0" borderId="50" xfId="39" applyNumberFormat="1" applyFont="1" applyFill="1" applyBorder="1">
      <alignment/>
      <protection/>
    </xf>
    <xf numFmtId="3" fontId="135" fillId="0" borderId="60" xfId="39" applyNumberFormat="1" applyFont="1" applyFill="1" applyBorder="1" applyAlignment="1">
      <alignment horizontal="center"/>
      <protection/>
    </xf>
    <xf numFmtId="165" fontId="0" fillId="0" borderId="0" xfId="62" applyNumberFormat="1">
      <alignment/>
      <protection/>
    </xf>
    <xf numFmtId="3" fontId="45" fillId="35" borderId="29" xfId="39" applyNumberFormat="1" applyFont="1" applyFill="1" applyBorder="1" applyAlignment="1">
      <alignment horizontal="left"/>
      <protection/>
    </xf>
    <xf numFmtId="165" fontId="18" fillId="35" borderId="29" xfId="39" applyNumberFormat="1" applyFont="1" applyFill="1" applyBorder="1">
      <alignment/>
      <protection/>
    </xf>
    <xf numFmtId="165" fontId="18" fillId="35" borderId="59" xfId="39" applyNumberFormat="1" applyFont="1" applyFill="1" applyBorder="1">
      <alignment/>
      <protection/>
    </xf>
    <xf numFmtId="0" fontId="136" fillId="0" borderId="29" xfId="62" applyFont="1" applyBorder="1">
      <alignment/>
      <protection/>
    </xf>
    <xf numFmtId="165" fontId="134" fillId="34" borderId="35" xfId="62" applyNumberFormat="1" applyFont="1" applyFill="1" applyBorder="1">
      <alignment/>
      <protection/>
    </xf>
    <xf numFmtId="164" fontId="48" fillId="37" borderId="50" xfId="39" applyNumberFormat="1" applyFont="1" applyFill="1" applyBorder="1" applyAlignment="1">
      <alignment horizontal="center"/>
      <protection/>
    </xf>
    <xf numFmtId="164" fontId="123" fillId="37" borderId="54" xfId="39" applyNumberFormat="1" applyFont="1" applyFill="1" applyBorder="1">
      <alignment/>
      <protection/>
    </xf>
    <xf numFmtId="3" fontId="40" fillId="0" borderId="37" xfId="39" applyNumberFormat="1" applyFont="1" applyFill="1" applyBorder="1" applyAlignment="1">
      <alignment horizontal="center"/>
      <protection/>
    </xf>
    <xf numFmtId="0" fontId="120" fillId="0" borderId="38" xfId="62" applyFont="1" applyBorder="1" applyAlignment="1">
      <alignment wrapText="1"/>
      <protection/>
    </xf>
    <xf numFmtId="3" fontId="45" fillId="35" borderId="38" xfId="39" applyNumberFormat="1" applyFont="1" applyFill="1" applyBorder="1" applyAlignment="1">
      <alignment horizontal="left"/>
      <protection/>
    </xf>
    <xf numFmtId="3" fontId="40" fillId="0" borderId="38" xfId="39" applyNumberFormat="1" applyFont="1" applyFill="1" applyBorder="1">
      <alignment/>
      <protection/>
    </xf>
    <xf numFmtId="0" fontId="136" fillId="0" borderId="38" xfId="62" applyFont="1" applyBorder="1">
      <alignment/>
      <protection/>
    </xf>
    <xf numFmtId="3" fontId="45" fillId="0" borderId="38" xfId="39" applyNumberFormat="1" applyFont="1" applyFill="1" applyBorder="1">
      <alignment/>
      <protection/>
    </xf>
    <xf numFmtId="0" fontId="46" fillId="0" borderId="38" xfId="62" applyFont="1" applyBorder="1">
      <alignment/>
      <protection/>
    </xf>
    <xf numFmtId="0" fontId="121" fillId="36" borderId="40" xfId="62" applyFont="1" applyFill="1" applyBorder="1" applyAlignment="1">
      <alignment/>
      <protection/>
    </xf>
    <xf numFmtId="0" fontId="122" fillId="34" borderId="33" xfId="62" applyFont="1" applyFill="1" applyBorder="1" applyAlignment="1">
      <alignment/>
      <protection/>
    </xf>
    <xf numFmtId="164" fontId="48" fillId="37" borderId="40" xfId="39" applyNumberFormat="1" applyFont="1" applyFill="1" applyBorder="1" applyAlignment="1">
      <alignment horizontal="center"/>
      <protection/>
    </xf>
    <xf numFmtId="164" fontId="48" fillId="0" borderId="61" xfId="39" applyNumberFormat="1" applyFont="1" applyFill="1" applyBorder="1">
      <alignment/>
      <protection/>
    </xf>
    <xf numFmtId="164" fontId="45" fillId="0" borderId="31" xfId="39" applyNumberFormat="1" applyFont="1" applyFill="1" applyBorder="1">
      <alignment/>
      <protection/>
    </xf>
    <xf numFmtId="164" fontId="123" fillId="0" borderId="31" xfId="39" applyNumberFormat="1" applyFont="1" applyFill="1" applyBorder="1">
      <alignment/>
      <protection/>
    </xf>
    <xf numFmtId="164" fontId="45" fillId="0" borderId="62" xfId="39" applyNumberFormat="1" applyFont="1" applyFill="1" applyBorder="1">
      <alignment/>
      <protection/>
    </xf>
    <xf numFmtId="164" fontId="45" fillId="0" borderId="36" xfId="39" applyNumberFormat="1" applyFont="1" applyFill="1" applyBorder="1">
      <alignment/>
      <protection/>
    </xf>
    <xf numFmtId="165" fontId="124" fillId="0" borderId="63" xfId="62" applyNumberFormat="1" applyFont="1" applyBorder="1">
      <alignment/>
      <protection/>
    </xf>
    <xf numFmtId="164" fontId="48" fillId="0" borderId="36" xfId="39" applyNumberFormat="1" applyFont="1" applyFill="1" applyBorder="1">
      <alignment/>
      <protection/>
    </xf>
    <xf numFmtId="165" fontId="48" fillId="0" borderId="30" xfId="39" applyNumberFormat="1" applyFont="1" applyFill="1" applyBorder="1">
      <alignment/>
      <protection/>
    </xf>
    <xf numFmtId="165" fontId="18" fillId="0" borderId="38" xfId="39" applyNumberFormat="1" applyFont="1" applyFill="1" applyBorder="1">
      <alignment/>
      <protection/>
    </xf>
    <xf numFmtId="165" fontId="18" fillId="0" borderId="64" xfId="39" applyNumberFormat="1" applyFont="1" applyFill="1" applyBorder="1">
      <alignment/>
      <protection/>
    </xf>
    <xf numFmtId="165" fontId="48" fillId="0" borderId="40" xfId="39" applyNumberFormat="1" applyFont="1" applyFill="1" applyBorder="1">
      <alignment/>
      <protection/>
    </xf>
    <xf numFmtId="3" fontId="50" fillId="0" borderId="65" xfId="39" applyNumberFormat="1" applyFont="1" applyFill="1" applyBorder="1" applyAlignment="1">
      <alignment horizontal="center"/>
      <protection/>
    </xf>
    <xf numFmtId="3" fontId="45" fillId="34" borderId="12" xfId="39" applyNumberFormat="1" applyFont="1" applyFill="1" applyBorder="1" applyAlignment="1">
      <alignment horizontal="center"/>
      <protection/>
    </xf>
    <xf numFmtId="3" fontId="48" fillId="34" borderId="44" xfId="39" applyNumberFormat="1" applyFont="1" applyFill="1" applyBorder="1" applyAlignment="1">
      <alignment horizontal="center"/>
      <protection/>
    </xf>
    <xf numFmtId="3" fontId="45" fillId="34" borderId="45" xfId="39" applyNumberFormat="1" applyFont="1" applyFill="1" applyBorder="1" applyAlignment="1">
      <alignment horizontal="center"/>
      <protection/>
    </xf>
    <xf numFmtId="3" fontId="40" fillId="34" borderId="45" xfId="39" applyNumberFormat="1" applyFont="1" applyFill="1" applyBorder="1" applyAlignment="1">
      <alignment horizontal="center"/>
      <protection/>
    </xf>
    <xf numFmtId="0" fontId="40" fillId="34" borderId="45" xfId="62" applyFont="1" applyFill="1" applyBorder="1" applyAlignment="1">
      <alignment horizontal="center"/>
      <protection/>
    </xf>
    <xf numFmtId="3" fontId="48" fillId="34" borderId="46" xfId="39" applyNumberFormat="1" applyFont="1" applyFill="1" applyBorder="1" applyAlignment="1">
      <alignment horizontal="center"/>
      <protection/>
    </xf>
    <xf numFmtId="3" fontId="63" fillId="34" borderId="46" xfId="62" applyNumberFormat="1" applyFont="1" applyFill="1" applyBorder="1" applyAlignment="1">
      <alignment horizontal="right"/>
      <protection/>
    </xf>
    <xf numFmtId="164" fontId="48" fillId="34" borderId="10" xfId="39" applyNumberFormat="1" applyFont="1" applyFill="1" applyBorder="1" applyAlignment="1">
      <alignment/>
      <protection/>
    </xf>
    <xf numFmtId="164" fontId="48" fillId="34" borderId="47" xfId="39" applyNumberFormat="1" applyFont="1" applyFill="1" applyBorder="1" applyAlignment="1">
      <alignment/>
      <protection/>
    </xf>
    <xf numFmtId="164" fontId="48" fillId="34" borderId="10" xfId="39" applyNumberFormat="1" applyFont="1" applyFill="1" applyBorder="1" applyAlignment="1">
      <alignment horizontal="center"/>
      <protection/>
    </xf>
    <xf numFmtId="164" fontId="48" fillId="34" borderId="44" xfId="39" applyNumberFormat="1" applyFont="1" applyFill="1" applyBorder="1" applyAlignment="1">
      <alignment horizontal="center"/>
      <protection/>
    </xf>
    <xf numFmtId="164" fontId="63" fillId="34" borderId="45" xfId="39" applyNumberFormat="1" applyFont="1" applyFill="1" applyBorder="1" applyAlignment="1">
      <alignment horizontal="right"/>
      <protection/>
    </xf>
    <xf numFmtId="164" fontId="123" fillId="34" borderId="47" xfId="39" applyNumberFormat="1" applyFont="1" applyFill="1" applyBorder="1" applyAlignment="1">
      <alignment horizontal="center"/>
      <protection/>
    </xf>
    <xf numFmtId="164" fontId="48" fillId="34" borderId="47" xfId="39" applyNumberFormat="1" applyFont="1" applyFill="1" applyBorder="1" applyAlignment="1">
      <alignment horizontal="center"/>
      <protection/>
    </xf>
    <xf numFmtId="164" fontId="48" fillId="34" borderId="11" xfId="39" applyNumberFormat="1" applyFont="1" applyFill="1" applyBorder="1" applyAlignment="1">
      <alignment horizontal="center"/>
      <protection/>
    </xf>
    <xf numFmtId="164" fontId="48" fillId="34" borderId="47" xfId="39" applyNumberFormat="1" applyFont="1" applyFill="1" applyBorder="1" applyAlignment="1">
      <alignment horizontal="right"/>
      <protection/>
    </xf>
    <xf numFmtId="164" fontId="48" fillId="34" borderId="11" xfId="39" applyNumberFormat="1" applyFont="1" applyFill="1" applyBorder="1" applyAlignment="1">
      <alignment horizontal="right"/>
      <protection/>
    </xf>
    <xf numFmtId="165" fontId="48" fillId="34" borderId="49" xfId="39" applyNumberFormat="1" applyFont="1" applyFill="1" applyBorder="1" applyAlignment="1">
      <alignment horizontal="center"/>
      <protection/>
    </xf>
    <xf numFmtId="165" fontId="63" fillId="34" borderId="45" xfId="39" applyNumberFormat="1" applyFont="1" applyFill="1" applyBorder="1" applyAlignment="1">
      <alignment horizontal="right"/>
      <protection/>
    </xf>
    <xf numFmtId="165" fontId="63" fillId="34" borderId="45" xfId="39" applyNumberFormat="1" applyFont="1" applyFill="1" applyBorder="1" applyAlignment="1">
      <alignment horizontal="center"/>
      <protection/>
    </xf>
    <xf numFmtId="165" fontId="48" fillId="34" borderId="10" xfId="39" applyNumberFormat="1" applyFont="1" applyFill="1" applyBorder="1" applyAlignment="1">
      <alignment horizontal="center"/>
      <protection/>
    </xf>
    <xf numFmtId="3" fontId="48" fillId="34" borderId="10" xfId="39" applyNumberFormat="1" applyFont="1" applyFill="1" applyBorder="1" applyAlignment="1">
      <alignment horizontal="center"/>
      <protection/>
    </xf>
    <xf numFmtId="3" fontId="18" fillId="35" borderId="54" xfId="39" applyNumberFormat="1" applyFont="1" applyFill="1" applyBorder="1">
      <alignment/>
      <protection/>
    </xf>
    <xf numFmtId="3" fontId="18" fillId="0" borderId="54" xfId="39" applyNumberFormat="1" applyFont="1" applyFill="1" applyBorder="1" applyAlignment="1">
      <alignment horizontal="left"/>
      <protection/>
    </xf>
    <xf numFmtId="3" fontId="40" fillId="0" borderId="54" xfId="39" applyNumberFormat="1" applyFont="1" applyFill="1" applyBorder="1">
      <alignment/>
      <protection/>
    </xf>
    <xf numFmtId="0" fontId="40" fillId="0" borderId="54" xfId="62" applyFont="1" applyBorder="1">
      <alignment/>
      <protection/>
    </xf>
    <xf numFmtId="3" fontId="45" fillId="0" borderId="54" xfId="39" applyNumberFormat="1" applyFont="1" applyFill="1" applyBorder="1" applyAlignment="1">
      <alignment horizontal="right"/>
      <protection/>
    </xf>
    <xf numFmtId="0" fontId="45" fillId="0" borderId="54" xfId="62" applyFont="1" applyBorder="1" applyAlignment="1">
      <alignment horizontal="right"/>
      <protection/>
    </xf>
    <xf numFmtId="164" fontId="48" fillId="38" borderId="54" xfId="39" applyNumberFormat="1" applyFont="1" applyFill="1" applyBorder="1">
      <alignment/>
      <protection/>
    </xf>
    <xf numFmtId="165" fontId="124" fillId="0" borderId="66" xfId="62" applyNumberFormat="1" applyFont="1" applyBorder="1">
      <alignment/>
      <protection/>
    </xf>
    <xf numFmtId="3" fontId="50" fillId="0" borderId="50" xfId="39" applyNumberFormat="1" applyFont="1" applyFill="1" applyBorder="1" applyAlignment="1">
      <alignment horizontal="center"/>
      <protection/>
    </xf>
    <xf numFmtId="0" fontId="137" fillId="0" borderId="29" xfId="62" applyFont="1" applyBorder="1" applyAlignment="1">
      <alignment wrapText="1"/>
      <protection/>
    </xf>
    <xf numFmtId="3" fontId="18" fillId="35" borderId="29" xfId="39" applyNumberFormat="1" applyFont="1" applyFill="1" applyBorder="1" applyAlignment="1">
      <alignment horizontal="left"/>
      <protection/>
    </xf>
    <xf numFmtId="3" fontId="45" fillId="0" borderId="29" xfId="39" applyNumberFormat="1" applyFont="1" applyFill="1" applyBorder="1" applyAlignment="1">
      <alignment horizontal="right"/>
      <protection/>
    </xf>
    <xf numFmtId="0" fontId="45" fillId="0" borderId="29" xfId="62" applyFont="1" applyBorder="1" applyAlignment="1">
      <alignment horizontal="right"/>
      <protection/>
    </xf>
    <xf numFmtId="165" fontId="133" fillId="34" borderId="35" xfId="62" applyNumberFormat="1" applyFont="1" applyFill="1" applyBorder="1">
      <alignment/>
      <protection/>
    </xf>
    <xf numFmtId="165" fontId="18" fillId="0" borderId="29" xfId="39" applyNumberFormat="1" applyFont="1" applyBorder="1">
      <alignment/>
      <protection/>
    </xf>
    <xf numFmtId="165" fontId="18" fillId="0" borderId="59" xfId="39" applyNumberFormat="1" applyFont="1" applyBorder="1">
      <alignment/>
      <protection/>
    </xf>
    <xf numFmtId="0" fontId="45" fillId="0" borderId="29" xfId="34" applyFont="1" applyBorder="1" applyAlignment="1">
      <alignment horizontal="right"/>
      <protection/>
    </xf>
    <xf numFmtId="3" fontId="45" fillId="0" borderId="29" xfId="39" applyNumberFormat="1" applyFont="1" applyBorder="1" applyAlignment="1">
      <alignment horizontal="right"/>
      <protection/>
    </xf>
    <xf numFmtId="3" fontId="45" fillId="35" borderId="29" xfId="39" applyNumberFormat="1" applyFont="1" applyFill="1" applyBorder="1" applyAlignment="1">
      <alignment horizontal="right"/>
      <protection/>
    </xf>
    <xf numFmtId="164" fontId="48" fillId="9" borderId="54" xfId="39" applyNumberFormat="1" applyFont="1" applyFill="1" applyBorder="1">
      <alignment/>
      <protection/>
    </xf>
    <xf numFmtId="0" fontId="138" fillId="0" borderId="29" xfId="62" applyFont="1" applyBorder="1" applyAlignment="1">
      <alignment wrapText="1"/>
      <protection/>
    </xf>
    <xf numFmtId="3" fontId="139" fillId="35" borderId="29" xfId="39" applyNumberFormat="1" applyFont="1" applyFill="1" applyBorder="1" applyAlignment="1">
      <alignment horizontal="left"/>
      <protection/>
    </xf>
    <xf numFmtId="0" fontId="140" fillId="0" borderId="29" xfId="62" applyFont="1" applyBorder="1">
      <alignment/>
      <protection/>
    </xf>
    <xf numFmtId="0" fontId="141" fillId="0" borderId="29" xfId="34" applyFont="1" applyBorder="1" applyAlignment="1">
      <alignment horizontal="right"/>
      <protection/>
    </xf>
    <xf numFmtId="0" fontId="141" fillId="0" borderId="29" xfId="62" applyFont="1" applyBorder="1" applyAlignment="1">
      <alignment horizontal="right"/>
      <protection/>
    </xf>
    <xf numFmtId="3" fontId="141" fillId="0" borderId="29" xfId="39" applyNumberFormat="1" applyFont="1" applyBorder="1" applyAlignment="1">
      <alignment horizontal="right"/>
      <protection/>
    </xf>
    <xf numFmtId="165" fontId="135" fillId="0" borderId="29" xfId="39" applyNumberFormat="1" applyFont="1" applyBorder="1">
      <alignment/>
      <protection/>
    </xf>
    <xf numFmtId="165" fontId="135" fillId="0" borderId="59" xfId="39" applyNumberFormat="1" applyFont="1" applyBorder="1">
      <alignment/>
      <protection/>
    </xf>
    <xf numFmtId="3" fontId="135" fillId="0" borderId="60" xfId="39" applyNumberFormat="1" applyFont="1" applyFill="1" applyBorder="1" applyAlignment="1">
      <alignment horizontal="center"/>
      <protection/>
    </xf>
    <xf numFmtId="0" fontId="69" fillId="0" borderId="29" xfId="62" applyFont="1" applyFill="1" applyBorder="1" applyAlignment="1">
      <alignment wrapText="1"/>
      <protection/>
    </xf>
    <xf numFmtId="165" fontId="142" fillId="34" borderId="29" xfId="62" applyNumberFormat="1" applyFont="1" applyFill="1" applyBorder="1" applyAlignment="1">
      <alignment horizontal="right" vertical="center" wrapText="1"/>
      <protection/>
    </xf>
    <xf numFmtId="0" fontId="137" fillId="0" borderId="38" xfId="62" applyFont="1" applyBorder="1" applyAlignment="1">
      <alignment wrapText="1"/>
      <protection/>
    </xf>
    <xf numFmtId="3" fontId="18" fillId="35" borderId="38" xfId="39" applyNumberFormat="1" applyFont="1" applyFill="1" applyBorder="1" applyAlignment="1">
      <alignment horizontal="left"/>
      <protection/>
    </xf>
    <xf numFmtId="0" fontId="40" fillId="0" borderId="38" xfId="62" applyFont="1" applyBorder="1">
      <alignment/>
      <protection/>
    </xf>
    <xf numFmtId="0" fontId="45" fillId="0" borderId="38" xfId="34" applyFont="1" applyBorder="1" applyAlignment="1">
      <alignment horizontal="right"/>
      <protection/>
    </xf>
    <xf numFmtId="0" fontId="45" fillId="0" borderId="38" xfId="62" applyFont="1" applyBorder="1" applyAlignment="1">
      <alignment horizontal="right"/>
      <protection/>
    </xf>
    <xf numFmtId="3" fontId="45" fillId="0" borderId="38" xfId="39" applyNumberFormat="1" applyFont="1" applyBorder="1" applyAlignment="1">
      <alignment horizontal="right"/>
      <protection/>
    </xf>
    <xf numFmtId="164" fontId="48" fillId="0" borderId="40" xfId="39" applyNumberFormat="1" applyFont="1" applyFill="1" applyBorder="1" applyAlignment="1">
      <alignment horizontal="center"/>
      <protection/>
    </xf>
    <xf numFmtId="164" fontId="48" fillId="0" borderId="67" xfId="39" applyNumberFormat="1" applyFont="1" applyFill="1" applyBorder="1">
      <alignment/>
      <protection/>
    </xf>
    <xf numFmtId="164" fontId="45" fillId="0" borderId="68" xfId="39" applyNumberFormat="1" applyFont="1" applyFill="1" applyBorder="1">
      <alignment/>
      <protection/>
    </xf>
    <xf numFmtId="164" fontId="123" fillId="0" borderId="68" xfId="39" applyNumberFormat="1" applyFont="1" applyFill="1" applyBorder="1">
      <alignment/>
      <protection/>
    </xf>
    <xf numFmtId="164" fontId="45" fillId="0" borderId="69" xfId="39" applyNumberFormat="1" applyFont="1" applyFill="1" applyBorder="1">
      <alignment/>
      <protection/>
    </xf>
    <xf numFmtId="164" fontId="45" fillId="0" borderId="18" xfId="39" applyNumberFormat="1" applyFont="1" applyFill="1" applyBorder="1">
      <alignment/>
      <protection/>
    </xf>
    <xf numFmtId="165" fontId="18" fillId="0" borderId="38" xfId="39" applyNumberFormat="1" applyFont="1" applyBorder="1">
      <alignment/>
      <protection/>
    </xf>
    <xf numFmtId="165" fontId="18" fillId="0" borderId="64" xfId="39" applyNumberFormat="1" applyFont="1" applyBorder="1">
      <alignment/>
      <protection/>
    </xf>
    <xf numFmtId="3" fontId="48" fillId="34" borderId="44" xfId="39" applyNumberFormat="1" applyFont="1" applyFill="1" applyBorder="1" applyAlignment="1">
      <alignment/>
      <protection/>
    </xf>
    <xf numFmtId="3" fontId="48" fillId="34" borderId="45" xfId="39" applyNumberFormat="1" applyFont="1" applyFill="1" applyBorder="1" applyAlignment="1">
      <alignment horizontal="center"/>
      <protection/>
    </xf>
    <xf numFmtId="3" fontId="48" fillId="34" borderId="45" xfId="39" applyNumberFormat="1" applyFont="1" applyFill="1" applyBorder="1" applyAlignment="1">
      <alignment/>
      <protection/>
    </xf>
    <xf numFmtId="3" fontId="28" fillId="34" borderId="45" xfId="39" applyNumberFormat="1" applyFont="1" applyFill="1" applyBorder="1" applyAlignment="1">
      <alignment/>
      <protection/>
    </xf>
    <xf numFmtId="0" fontId="28" fillId="34" borderId="45" xfId="62" applyFont="1" applyFill="1" applyBorder="1" applyAlignment="1">
      <alignment/>
      <protection/>
    </xf>
    <xf numFmtId="0" fontId="48" fillId="34" borderId="45" xfId="62" applyFont="1" applyFill="1" applyBorder="1" applyAlignment="1">
      <alignment/>
      <protection/>
    </xf>
    <xf numFmtId="164" fontId="48" fillId="34" borderId="46" xfId="39" applyNumberFormat="1" applyFont="1" applyFill="1" applyBorder="1" applyAlignment="1">
      <alignment/>
      <protection/>
    </xf>
    <xf numFmtId="164" fontId="48" fillId="34" borderId="44" xfId="39" applyNumberFormat="1" applyFont="1" applyFill="1" applyBorder="1" applyAlignment="1">
      <alignment/>
      <protection/>
    </xf>
    <xf numFmtId="164" fontId="48" fillId="34" borderId="45" xfId="39" applyNumberFormat="1" applyFont="1" applyFill="1" applyBorder="1" applyAlignment="1">
      <alignment/>
      <protection/>
    </xf>
    <xf numFmtId="164" fontId="123" fillId="34" borderId="45" xfId="39" applyNumberFormat="1" applyFont="1" applyFill="1" applyBorder="1" applyAlignment="1">
      <alignment/>
      <protection/>
    </xf>
    <xf numFmtId="164" fontId="48" fillId="34" borderId="48" xfId="39" applyNumberFormat="1" applyFont="1" applyFill="1" applyBorder="1" applyAlignment="1">
      <alignment/>
      <protection/>
    </xf>
    <xf numFmtId="164" fontId="48" fillId="34" borderId="11" xfId="39" applyNumberFormat="1" applyFont="1" applyFill="1" applyBorder="1" applyAlignment="1">
      <alignment/>
      <protection/>
    </xf>
    <xf numFmtId="165" fontId="48" fillId="34" borderId="49" xfId="39" applyNumberFormat="1" applyFont="1" applyFill="1" applyBorder="1" applyAlignment="1">
      <alignment/>
      <protection/>
    </xf>
    <xf numFmtId="165" fontId="48" fillId="34" borderId="45" xfId="39" applyNumberFormat="1" applyFont="1" applyFill="1" applyBorder="1" applyAlignment="1">
      <alignment/>
      <protection/>
    </xf>
    <xf numFmtId="3" fontId="48" fillId="34" borderId="46" xfId="39" applyNumberFormat="1" applyFont="1" applyFill="1" applyBorder="1" applyAlignment="1">
      <alignment/>
      <protection/>
    </xf>
    <xf numFmtId="3" fontId="18" fillId="0" borderId="50" xfId="39" applyNumberFormat="1" applyFont="1" applyFill="1" applyBorder="1" applyAlignment="1">
      <alignment horizontal="center"/>
      <protection/>
    </xf>
    <xf numFmtId="0" fontId="143" fillId="0" borderId="57" xfId="62" applyFont="1" applyBorder="1" applyAlignment="1">
      <alignment wrapText="1"/>
      <protection/>
    </xf>
    <xf numFmtId="3" fontId="18" fillId="35" borderId="54" xfId="39" applyNumberFormat="1" applyFont="1" applyFill="1" applyBorder="1" applyAlignment="1">
      <alignment horizontal="left"/>
      <protection/>
    </xf>
    <xf numFmtId="3" fontId="40" fillId="35" borderId="54" xfId="39" applyNumberFormat="1" applyFont="1" applyFill="1" applyBorder="1">
      <alignment/>
      <protection/>
    </xf>
    <xf numFmtId="3" fontId="45" fillId="0" borderId="54" xfId="39" applyNumberFormat="1" applyFont="1" applyBorder="1" applyAlignment="1">
      <alignment horizontal="right"/>
      <protection/>
    </xf>
    <xf numFmtId="164" fontId="50" fillId="0" borderId="57" xfId="39" applyNumberFormat="1" applyFont="1" applyFill="1" applyBorder="1">
      <alignment/>
      <protection/>
    </xf>
    <xf numFmtId="165" fontId="124" fillId="0" borderId="56" xfId="62" applyNumberFormat="1" applyFont="1" applyBorder="1">
      <alignment/>
      <protection/>
    </xf>
    <xf numFmtId="164" fontId="48" fillId="0" borderId="66" xfId="39" applyNumberFormat="1" applyFont="1" applyFill="1" applyBorder="1">
      <alignment/>
      <protection/>
    </xf>
    <xf numFmtId="165" fontId="18" fillId="0" borderId="54" xfId="39" applyNumberFormat="1" applyFont="1" applyBorder="1">
      <alignment/>
      <protection/>
    </xf>
    <xf numFmtId="165" fontId="18" fillId="0" borderId="55" xfId="39" applyNumberFormat="1" applyFont="1" applyBorder="1">
      <alignment/>
      <protection/>
    </xf>
    <xf numFmtId="3" fontId="18" fillId="0" borderId="60" xfId="39" applyNumberFormat="1" applyFont="1" applyFill="1" applyBorder="1" applyAlignment="1">
      <alignment horizontal="center"/>
      <protection/>
    </xf>
    <xf numFmtId="0" fontId="138" fillId="0" borderId="28" xfId="62" applyFont="1" applyBorder="1" applyAlignment="1">
      <alignment wrapText="1"/>
      <protection/>
    </xf>
    <xf numFmtId="3" fontId="144" fillId="0" borderId="29" xfId="39" applyNumberFormat="1" applyFont="1" applyBorder="1" applyAlignment="1">
      <alignment horizontal="left"/>
      <protection/>
    </xf>
    <xf numFmtId="3" fontId="140" fillId="0" borderId="29" xfId="39" applyNumberFormat="1" applyFont="1" applyBorder="1">
      <alignment/>
      <protection/>
    </xf>
    <xf numFmtId="0" fontId="28" fillId="0" borderId="29" xfId="62" applyFont="1" applyBorder="1">
      <alignment/>
      <protection/>
    </xf>
    <xf numFmtId="3" fontId="128" fillId="0" borderId="29" xfId="39" applyNumberFormat="1" applyFont="1" applyBorder="1" applyAlignment="1">
      <alignment horizontal="right"/>
      <protection/>
    </xf>
    <xf numFmtId="3" fontId="48" fillId="0" borderId="29" xfId="39" applyNumberFormat="1" applyFont="1" applyBorder="1" applyAlignment="1">
      <alignment horizontal="right"/>
      <protection/>
    </xf>
    <xf numFmtId="0" fontId="48" fillId="0" borderId="29" xfId="62" applyFont="1" applyBorder="1" applyAlignment="1">
      <alignment horizontal="right"/>
      <protection/>
    </xf>
    <xf numFmtId="0" fontId="145" fillId="34" borderId="39" xfId="62" applyFont="1" applyFill="1" applyBorder="1" applyAlignment="1">
      <alignment/>
      <protection/>
    </xf>
    <xf numFmtId="165" fontId="146" fillId="0" borderId="60" xfId="62" applyNumberFormat="1" applyFont="1" applyFill="1" applyBorder="1">
      <alignment/>
      <protection/>
    </xf>
    <xf numFmtId="165" fontId="124" fillId="0" borderId="50" xfId="62" applyNumberFormat="1" applyFont="1" applyBorder="1">
      <alignment/>
      <protection/>
    </xf>
    <xf numFmtId="165" fontId="125" fillId="15" borderId="29" xfId="62" applyNumberFormat="1" applyFont="1" applyFill="1" applyBorder="1" applyAlignment="1">
      <alignment vertical="center" wrapText="1"/>
      <protection/>
    </xf>
    <xf numFmtId="3" fontId="18" fillId="0" borderId="40" xfId="39" applyNumberFormat="1" applyFont="1" applyFill="1" applyBorder="1" applyAlignment="1">
      <alignment horizontal="center"/>
      <protection/>
    </xf>
    <xf numFmtId="0" fontId="138" fillId="0" borderId="37" xfId="62" applyFont="1" applyBorder="1" applyAlignment="1">
      <alignment wrapText="1"/>
      <protection/>
    </xf>
    <xf numFmtId="3" fontId="144" fillId="0" borderId="38" xfId="39" applyNumberFormat="1" applyFont="1" applyBorder="1" applyAlignment="1">
      <alignment horizontal="left"/>
      <protection/>
    </xf>
    <xf numFmtId="3" fontId="140" fillId="0" borderId="38" xfId="39" applyNumberFormat="1" applyFont="1" applyBorder="1">
      <alignment/>
      <protection/>
    </xf>
    <xf numFmtId="0" fontId="28" fillId="0" borderId="38" xfId="62" applyFont="1" applyBorder="1">
      <alignment/>
      <protection/>
    </xf>
    <xf numFmtId="3" fontId="128" fillId="0" borderId="38" xfId="39" applyNumberFormat="1" applyFont="1" applyBorder="1" applyAlignment="1">
      <alignment horizontal="right"/>
      <protection/>
    </xf>
    <xf numFmtId="3" fontId="48" fillId="0" borderId="38" xfId="39" applyNumberFormat="1" applyFont="1" applyBorder="1" applyAlignment="1">
      <alignment horizontal="right"/>
      <protection/>
    </xf>
    <xf numFmtId="0" fontId="48" fillId="0" borderId="38" xfId="62" applyFont="1" applyBorder="1" applyAlignment="1">
      <alignment horizontal="right"/>
      <protection/>
    </xf>
    <xf numFmtId="164" fontId="50" fillId="0" borderId="61" xfId="39" applyNumberFormat="1" applyFont="1" applyFill="1" applyBorder="1">
      <alignment/>
      <protection/>
    </xf>
    <xf numFmtId="164" fontId="48" fillId="0" borderId="33" xfId="39" applyNumberFormat="1" applyFont="1" applyFill="1" applyBorder="1">
      <alignment/>
      <protection/>
    </xf>
    <xf numFmtId="3" fontId="48" fillId="34" borderId="41" xfId="39" applyNumberFormat="1" applyFont="1" applyFill="1" applyBorder="1" applyAlignment="1">
      <alignment horizontal="center"/>
      <protection/>
    </xf>
    <xf numFmtId="3" fontId="48" fillId="34" borderId="23" xfId="39" applyNumberFormat="1" applyFont="1" applyFill="1" applyBorder="1" applyAlignment="1">
      <alignment horizontal="center"/>
      <protection/>
    </xf>
    <xf numFmtId="0" fontId="48" fillId="34" borderId="23" xfId="62" applyFont="1" applyFill="1" applyBorder="1" applyAlignment="1">
      <alignment horizontal="right"/>
      <protection/>
    </xf>
    <xf numFmtId="164" fontId="48" fillId="34" borderId="24" xfId="39" applyNumberFormat="1" applyFont="1" applyFill="1" applyBorder="1" applyAlignment="1">
      <alignment/>
      <protection/>
    </xf>
    <xf numFmtId="164" fontId="48" fillId="34" borderId="25" xfId="39" applyNumberFormat="1" applyFont="1" applyFill="1" applyBorder="1" applyAlignment="1">
      <alignment/>
      <protection/>
    </xf>
    <xf numFmtId="164" fontId="48" fillId="34" borderId="41" xfId="39" applyNumberFormat="1" applyFont="1" applyFill="1" applyBorder="1" applyAlignment="1">
      <alignment horizontal="center"/>
      <protection/>
    </xf>
    <xf numFmtId="164" fontId="48" fillId="34" borderId="45" xfId="39" applyNumberFormat="1" applyFont="1" applyFill="1" applyBorder="1" applyAlignment="1">
      <alignment horizontal="center"/>
      <protection/>
    </xf>
    <xf numFmtId="164" fontId="123" fillId="34" borderId="45" xfId="39" applyNumberFormat="1" applyFont="1" applyFill="1" applyBorder="1" applyAlignment="1">
      <alignment horizontal="center"/>
      <protection/>
    </xf>
    <xf numFmtId="164" fontId="48" fillId="34" borderId="48" xfId="39" applyNumberFormat="1" applyFont="1" applyFill="1" applyBorder="1" applyAlignment="1">
      <alignment horizontal="center"/>
      <protection/>
    </xf>
    <xf numFmtId="164" fontId="48" fillId="34" borderId="10" xfId="39" applyNumberFormat="1" applyFont="1" applyFill="1" applyBorder="1" applyAlignment="1">
      <alignment horizontal="right"/>
      <protection/>
    </xf>
    <xf numFmtId="164" fontId="48" fillId="34" borderId="25" xfId="39" applyNumberFormat="1" applyFont="1" applyFill="1" applyBorder="1" applyAlignment="1">
      <alignment horizontal="right"/>
      <protection/>
    </xf>
    <xf numFmtId="165" fontId="48" fillId="34" borderId="45" xfId="39" applyNumberFormat="1" applyFont="1" applyFill="1" applyBorder="1" applyAlignment="1">
      <alignment horizontal="right"/>
      <protection/>
    </xf>
    <xf numFmtId="165" fontId="48" fillId="34" borderId="45" xfId="39" applyNumberFormat="1" applyFont="1" applyFill="1" applyBorder="1" applyAlignment="1">
      <alignment horizontal="center"/>
      <protection/>
    </xf>
    <xf numFmtId="3" fontId="18" fillId="0" borderId="29" xfId="39" applyNumberFormat="1" applyFont="1" applyFill="1" applyBorder="1">
      <alignment/>
      <protection/>
    </xf>
    <xf numFmtId="3" fontId="74" fillId="0" borderId="38" xfId="39" applyNumberFormat="1" applyFont="1" applyFill="1" applyBorder="1" applyAlignment="1">
      <alignment horizontal="left" vertical="center"/>
      <protection/>
    </xf>
    <xf numFmtId="3" fontId="18" fillId="0" borderId="38" xfId="39" applyNumberFormat="1" applyFont="1" applyFill="1" applyBorder="1" applyAlignment="1">
      <alignment horizontal="left"/>
      <protection/>
    </xf>
    <xf numFmtId="3" fontId="18" fillId="0" borderId="38" xfId="39" applyNumberFormat="1" applyFont="1" applyFill="1" applyBorder="1">
      <alignment/>
      <protection/>
    </xf>
    <xf numFmtId="3" fontId="69" fillId="0" borderId="38" xfId="39" applyNumberFormat="1" applyFont="1" applyFill="1" applyBorder="1">
      <alignment/>
      <protection/>
    </xf>
    <xf numFmtId="3" fontId="75" fillId="0" borderId="38" xfId="39" applyNumberFormat="1" applyFont="1" applyFill="1" applyBorder="1">
      <alignment/>
      <protection/>
    </xf>
    <xf numFmtId="0" fontId="75" fillId="0" borderId="38" xfId="62" applyFont="1" applyBorder="1">
      <alignment/>
      <protection/>
    </xf>
    <xf numFmtId="3" fontId="75" fillId="0" borderId="64" xfId="62" applyNumberFormat="1" applyFont="1" applyFill="1" applyBorder="1" applyAlignment="1">
      <alignment/>
      <protection/>
    </xf>
    <xf numFmtId="165" fontId="19" fillId="34" borderId="25" xfId="62" applyNumberFormat="1" applyFont="1" applyFill="1" applyBorder="1" applyAlignment="1">
      <alignment/>
      <protection/>
    </xf>
    <xf numFmtId="164" fontId="48" fillId="0" borderId="0" xfId="39" applyNumberFormat="1" applyFont="1" applyFill="1" applyBorder="1" applyAlignment="1">
      <alignment horizontal="center"/>
      <protection/>
    </xf>
    <xf numFmtId="164" fontId="74" fillId="0" borderId="37" xfId="39" applyNumberFormat="1" applyFont="1" applyFill="1" applyBorder="1">
      <alignment/>
      <protection/>
    </xf>
    <xf numFmtId="164" fontId="46" fillId="0" borderId="31" xfId="39" applyNumberFormat="1" applyFont="1" applyFill="1" applyBorder="1">
      <alignment/>
      <protection/>
    </xf>
    <xf numFmtId="164" fontId="147" fillId="0" borderId="0" xfId="39" applyNumberFormat="1" applyFont="1" applyFill="1" applyBorder="1">
      <alignment/>
      <protection/>
    </xf>
    <xf numFmtId="164" fontId="46" fillId="0" borderId="62" xfId="39" applyNumberFormat="1" applyFont="1" applyFill="1" applyBorder="1">
      <alignment/>
      <protection/>
    </xf>
    <xf numFmtId="164" fontId="46" fillId="0" borderId="36" xfId="39" applyNumberFormat="1" applyFont="1" applyFill="1" applyBorder="1">
      <alignment/>
      <protection/>
    </xf>
    <xf numFmtId="164" fontId="63" fillId="0" borderId="40" xfId="39" applyNumberFormat="1" applyFont="1" applyFill="1" applyBorder="1">
      <alignment/>
      <protection/>
    </xf>
    <xf numFmtId="164" fontId="63" fillId="0" borderId="63" xfId="39" applyNumberFormat="1" applyFont="1" applyFill="1" applyBorder="1">
      <alignment/>
      <protection/>
    </xf>
    <xf numFmtId="165" fontId="48" fillId="0" borderId="32" xfId="39" applyNumberFormat="1" applyFont="1" applyFill="1" applyBorder="1">
      <alignment/>
      <protection/>
    </xf>
    <xf numFmtId="165" fontId="77" fillId="0" borderId="32" xfId="39" applyNumberFormat="1" applyFont="1" applyFill="1" applyBorder="1">
      <alignment/>
      <protection/>
    </xf>
    <xf numFmtId="3" fontId="50" fillId="0" borderId="40" xfId="39" applyNumberFormat="1" applyFont="1" applyFill="1" applyBorder="1" applyAlignment="1">
      <alignment horizontal="center"/>
      <protection/>
    </xf>
    <xf numFmtId="3" fontId="78" fillId="16" borderId="10" xfId="39" applyNumberFormat="1" applyFont="1" applyFill="1" applyBorder="1" applyAlignment="1">
      <alignment horizontal="left"/>
      <protection/>
    </xf>
    <xf numFmtId="3" fontId="78" fillId="16" borderId="26" xfId="39" applyNumberFormat="1" applyFont="1" applyFill="1" applyBorder="1" applyAlignment="1">
      <alignment horizontal="left"/>
      <protection/>
    </xf>
    <xf numFmtId="3" fontId="78" fillId="16" borderId="11" xfId="39" applyNumberFormat="1" applyFont="1" applyFill="1" applyBorder="1" applyAlignment="1">
      <alignment horizontal="left"/>
      <protection/>
    </xf>
    <xf numFmtId="165" fontId="19" fillId="16" borderId="47" xfId="62" applyNumberFormat="1" applyFont="1" applyFill="1" applyBorder="1" applyAlignment="1">
      <alignment/>
      <protection/>
    </xf>
    <xf numFmtId="164" fontId="48" fillId="16" borderId="26" xfId="39" applyNumberFormat="1" applyFont="1" applyFill="1" applyBorder="1" applyAlignment="1">
      <alignment horizontal="center"/>
      <protection/>
    </xf>
    <xf numFmtId="164" fontId="74" fillId="16" borderId="44" xfId="39" applyNumberFormat="1" applyFont="1" applyFill="1" applyBorder="1">
      <alignment/>
      <protection/>
    </xf>
    <xf numFmtId="164" fontId="46" fillId="16" borderId="45" xfId="39" applyNumberFormat="1" applyFont="1" applyFill="1" applyBorder="1">
      <alignment/>
      <protection/>
    </xf>
    <xf numFmtId="164" fontId="46" fillId="16" borderId="46" xfId="39" applyNumberFormat="1" applyFont="1" applyFill="1" applyBorder="1">
      <alignment/>
      <protection/>
    </xf>
    <xf numFmtId="164" fontId="46" fillId="16" borderId="47" xfId="39" applyNumberFormat="1" applyFont="1" applyFill="1" applyBorder="1">
      <alignment/>
      <protection/>
    </xf>
    <xf numFmtId="164" fontId="63" fillId="16" borderId="47" xfId="39" applyNumberFormat="1" applyFont="1" applyFill="1" applyBorder="1" applyAlignment="1">
      <alignment horizontal="right"/>
      <protection/>
    </xf>
    <xf numFmtId="165" fontId="48" fillId="16" borderId="49" xfId="39" applyNumberFormat="1" applyFont="1" applyFill="1" applyBorder="1">
      <alignment/>
      <protection/>
    </xf>
    <xf numFmtId="165" fontId="77" fillId="16" borderId="46" xfId="39" applyNumberFormat="1" applyFont="1" applyFill="1" applyBorder="1">
      <alignment/>
      <protection/>
    </xf>
    <xf numFmtId="165" fontId="48" fillId="16" borderId="10" xfId="39" applyNumberFormat="1" applyFont="1" applyFill="1" applyBorder="1">
      <alignment/>
      <protection/>
    </xf>
    <xf numFmtId="3" fontId="50" fillId="16" borderId="10" xfId="39" applyNumberFormat="1" applyFont="1" applyFill="1" applyBorder="1" applyAlignment="1">
      <alignment horizontal="center"/>
      <protection/>
    </xf>
    <xf numFmtId="3" fontId="18" fillId="0" borderId="44" xfId="39" applyNumberFormat="1" applyFont="1" applyBorder="1">
      <alignment/>
      <protection/>
    </xf>
    <xf numFmtId="3" fontId="148" fillId="35" borderId="45" xfId="39" applyNumberFormat="1" applyFont="1" applyFill="1" applyBorder="1">
      <alignment/>
      <protection/>
    </xf>
    <xf numFmtId="3" fontId="18" fillId="35" borderId="45" xfId="39" applyNumberFormat="1" applyFont="1" applyFill="1" applyBorder="1" applyAlignment="1">
      <alignment horizontal="left"/>
      <protection/>
    </xf>
    <xf numFmtId="3" fontId="18" fillId="0" borderId="45" xfId="39" applyNumberFormat="1" applyFont="1" applyBorder="1">
      <alignment/>
      <protection/>
    </xf>
    <xf numFmtId="3" fontId="69" fillId="0" borderId="45" xfId="39" applyNumberFormat="1" applyFont="1" applyBorder="1">
      <alignment/>
      <protection/>
    </xf>
    <xf numFmtId="3" fontId="80" fillId="0" borderId="45" xfId="39" applyNumberFormat="1" applyFont="1" applyBorder="1">
      <alignment/>
      <protection/>
    </xf>
    <xf numFmtId="0" fontId="75" fillId="0" borderId="45" xfId="62" applyFont="1" applyBorder="1">
      <alignment/>
      <protection/>
    </xf>
    <xf numFmtId="3" fontId="75" fillId="0" borderId="46" xfId="39" applyNumberFormat="1" applyFont="1" applyFill="1" applyBorder="1" applyAlignment="1" quotePrefix="1">
      <alignment/>
      <protection/>
    </xf>
    <xf numFmtId="164" fontId="48" fillId="0" borderId="26" xfId="39" applyNumberFormat="1" applyFont="1" applyFill="1" applyBorder="1" applyAlignment="1">
      <alignment horizontal="center"/>
      <protection/>
    </xf>
    <xf numFmtId="164" fontId="149" fillId="0" borderId="44" xfId="39" applyNumberFormat="1" applyFont="1" applyFill="1" applyBorder="1">
      <alignment/>
      <protection/>
    </xf>
    <xf numFmtId="164" fontId="150" fillId="0" borderId="45" xfId="39" applyNumberFormat="1" applyFont="1" applyFill="1" applyBorder="1">
      <alignment/>
      <protection/>
    </xf>
    <xf numFmtId="164" fontId="150" fillId="0" borderId="45" xfId="62" applyNumberFormat="1" applyFont="1" applyBorder="1">
      <alignment/>
      <protection/>
    </xf>
    <xf numFmtId="0" fontId="150" fillId="0" borderId="45" xfId="62" applyFont="1" applyBorder="1">
      <alignment/>
      <protection/>
    </xf>
    <xf numFmtId="0" fontId="150" fillId="0" borderId="48" xfId="62" applyFont="1" applyBorder="1">
      <alignment/>
      <protection/>
    </xf>
    <xf numFmtId="164" fontId="151" fillId="0" borderId="11" xfId="62" applyNumberFormat="1" applyFont="1" applyBorder="1">
      <alignment/>
      <protection/>
    </xf>
    <xf numFmtId="164" fontId="152" fillId="0" borderId="44" xfId="39" applyNumberFormat="1" applyFont="1" applyFill="1" applyBorder="1">
      <alignment/>
      <protection/>
    </xf>
    <xf numFmtId="164" fontId="153" fillId="0" borderId="47" xfId="39" applyNumberFormat="1" applyFont="1" applyFill="1" applyBorder="1">
      <alignment/>
      <protection/>
    </xf>
    <xf numFmtId="165" fontId="48" fillId="0" borderId="49" xfId="39" applyNumberFormat="1" applyFont="1" applyFill="1" applyBorder="1">
      <alignment/>
      <protection/>
    </xf>
    <xf numFmtId="165" fontId="45" fillId="0" borderId="46" xfId="39" applyNumberFormat="1" applyFont="1" applyBorder="1">
      <alignment/>
      <protection/>
    </xf>
    <xf numFmtId="165" fontId="18" fillId="0" borderId="45" xfId="39" applyNumberFormat="1" applyFont="1" applyBorder="1">
      <alignment/>
      <protection/>
    </xf>
    <xf numFmtId="165" fontId="18" fillId="0" borderId="46" xfId="39" applyNumberFormat="1" applyFont="1" applyBorder="1">
      <alignment/>
      <protection/>
    </xf>
    <xf numFmtId="165" fontId="154" fillId="0" borderId="10" xfId="39" applyNumberFormat="1" applyFont="1" applyFill="1" applyBorder="1">
      <alignment/>
      <protection/>
    </xf>
    <xf numFmtId="3" fontId="50" fillId="0" borderId="10" xfId="39" applyNumberFormat="1" applyFont="1" applyFill="1" applyBorder="1" applyAlignment="1">
      <alignment horizontal="center"/>
      <protection/>
    </xf>
    <xf numFmtId="3" fontId="48" fillId="34" borderId="67" xfId="39" applyNumberFormat="1" applyFont="1" applyFill="1" applyBorder="1" applyAlignment="1">
      <alignment vertical="center"/>
      <protection/>
    </xf>
    <xf numFmtId="0" fontId="87" fillId="34" borderId="46" xfId="40" applyFont="1" applyFill="1" applyBorder="1" applyAlignment="1">
      <alignment horizontal="center" vertical="center" wrapText="1"/>
      <protection/>
    </xf>
    <xf numFmtId="0" fontId="87" fillId="34" borderId="49" xfId="40" applyFont="1" applyFill="1" applyBorder="1" applyAlignment="1">
      <alignment horizontal="center" vertical="center" wrapText="1"/>
      <protection/>
    </xf>
    <xf numFmtId="3" fontId="50" fillId="34" borderId="68" xfId="39" applyNumberFormat="1" applyFont="1" applyFill="1" applyBorder="1" applyAlignment="1">
      <alignment vertical="center"/>
      <protection/>
    </xf>
    <xf numFmtId="3" fontId="88" fillId="34" borderId="68" xfId="39" applyNumberFormat="1" applyFont="1" applyFill="1" applyBorder="1" applyAlignment="1">
      <alignment vertical="center"/>
      <protection/>
    </xf>
    <xf numFmtId="3" fontId="75" fillId="34" borderId="68" xfId="39" applyNumberFormat="1" applyFont="1" applyFill="1" applyBorder="1" applyAlignment="1">
      <alignment vertical="center"/>
      <protection/>
    </xf>
    <xf numFmtId="0" fontId="75" fillId="34" borderId="68" xfId="62" applyFont="1" applyFill="1" applyBorder="1" applyAlignment="1">
      <alignment vertical="center"/>
      <protection/>
    </xf>
    <xf numFmtId="3" fontId="155" fillId="34" borderId="15" xfId="39" applyNumberFormat="1" applyFont="1" applyFill="1" applyBorder="1" applyAlignment="1" quotePrefix="1">
      <alignment vertical="center"/>
      <protection/>
    </xf>
    <xf numFmtId="164" fontId="133" fillId="34" borderId="39" xfId="39" applyNumberFormat="1" applyFont="1" applyFill="1" applyBorder="1" applyAlignment="1">
      <alignment vertical="center"/>
      <protection/>
    </xf>
    <xf numFmtId="164" fontId="48" fillId="34" borderId="0" xfId="39" applyNumberFormat="1" applyFont="1" applyFill="1" applyBorder="1" applyAlignment="1">
      <alignment vertical="center"/>
      <protection/>
    </xf>
    <xf numFmtId="164" fontId="156" fillId="34" borderId="67" xfId="39" applyNumberFormat="1" applyFont="1" applyFill="1" applyBorder="1" applyAlignment="1">
      <alignment vertical="center"/>
      <protection/>
    </xf>
    <xf numFmtId="164" fontId="48" fillId="34" borderId="18" xfId="39" applyNumberFormat="1" applyFont="1" applyFill="1" applyBorder="1" applyAlignment="1">
      <alignment vertical="center"/>
      <protection/>
    </xf>
    <xf numFmtId="164" fontId="157" fillId="34" borderId="17" xfId="39" applyNumberFormat="1" applyFont="1" applyFill="1" applyBorder="1" applyAlignment="1">
      <alignment vertical="center"/>
      <protection/>
    </xf>
    <xf numFmtId="164" fontId="48" fillId="34" borderId="39" xfId="39" applyNumberFormat="1" applyFont="1" applyFill="1" applyBorder="1" applyAlignment="1">
      <alignment vertical="center"/>
      <protection/>
    </xf>
    <xf numFmtId="165" fontId="48" fillId="34" borderId="19" xfId="39" applyNumberFormat="1" applyFont="1" applyFill="1" applyBorder="1" applyAlignment="1">
      <alignment vertical="center"/>
      <protection/>
    </xf>
    <xf numFmtId="165" fontId="48" fillId="34" borderId="68" xfId="39" applyNumberFormat="1" applyFont="1" applyFill="1" applyBorder="1" applyAlignment="1">
      <alignment vertical="center"/>
      <protection/>
    </xf>
    <xf numFmtId="165" fontId="75" fillId="34" borderId="68" xfId="39" applyNumberFormat="1" applyFont="1" applyFill="1" applyBorder="1" applyAlignment="1">
      <alignment vertical="center"/>
      <protection/>
    </xf>
    <xf numFmtId="3" fontId="50" fillId="34" borderId="15" xfId="39" applyNumberFormat="1" applyFont="1" applyFill="1" applyBorder="1" applyAlignment="1">
      <alignment vertical="center"/>
      <protection/>
    </xf>
    <xf numFmtId="165" fontId="126" fillId="34" borderId="29" xfId="62" applyNumberFormat="1" applyFont="1" applyFill="1" applyBorder="1" applyAlignment="1">
      <alignment vertical="center" wrapText="1"/>
      <protection/>
    </xf>
    <xf numFmtId="0" fontId="158" fillId="0" borderId="0" xfId="62" applyFont="1">
      <alignment/>
      <protection/>
    </xf>
    <xf numFmtId="0" fontId="0" fillId="0" borderId="29" xfId="62" applyFont="1" applyBorder="1" applyAlignment="1">
      <alignment horizontal="right"/>
      <protection/>
    </xf>
    <xf numFmtId="164" fontId="156" fillId="39" borderId="26" xfId="62" applyNumberFormat="1" applyFont="1" applyFill="1" applyBorder="1">
      <alignment/>
      <protection/>
    </xf>
    <xf numFmtId="0" fontId="156" fillId="39" borderId="11" xfId="62" applyFont="1" applyFill="1" applyBorder="1">
      <alignment/>
      <protection/>
    </xf>
    <xf numFmtId="0" fontId="0" fillId="39" borderId="26" xfId="62" applyFill="1" applyBorder="1">
      <alignment/>
      <protection/>
    </xf>
    <xf numFmtId="0" fontId="0" fillId="39" borderId="11" xfId="62" applyFill="1" applyBorder="1">
      <alignment/>
      <protection/>
    </xf>
    <xf numFmtId="0" fontId="109" fillId="16" borderId="10" xfId="62" applyFont="1" applyFill="1" applyBorder="1">
      <alignment/>
      <protection/>
    </xf>
    <xf numFmtId="0" fontId="159" fillId="16" borderId="26" xfId="62" applyFont="1" applyFill="1" applyBorder="1">
      <alignment/>
      <protection/>
    </xf>
    <xf numFmtId="0" fontId="109" fillId="16" borderId="11" xfId="62" applyFont="1" applyFill="1" applyBorder="1">
      <alignment/>
      <protection/>
    </xf>
    <xf numFmtId="0" fontId="109" fillId="0" borderId="10" xfId="62" applyFont="1" applyBorder="1">
      <alignment/>
      <protection/>
    </xf>
    <xf numFmtId="0" fontId="109" fillId="0" borderId="26" xfId="62" applyFont="1" applyBorder="1">
      <alignment/>
      <protection/>
    </xf>
    <xf numFmtId="0" fontId="109" fillId="0" borderId="11" xfId="62" applyFont="1" applyBorder="1">
      <alignment/>
      <protection/>
    </xf>
    <xf numFmtId="164" fontId="160" fillId="39" borderId="26" xfId="62" applyNumberFormat="1" applyFont="1" applyFill="1" applyBorder="1">
      <alignment/>
      <protection/>
    </xf>
    <xf numFmtId="0" fontId="109" fillId="16" borderId="0" xfId="62" applyFont="1" applyFill="1" applyBorder="1">
      <alignment/>
      <protection/>
    </xf>
    <xf numFmtId="0" fontId="159" fillId="16" borderId="0" xfId="62" applyFont="1" applyFill="1" applyBorder="1">
      <alignment/>
      <protection/>
    </xf>
    <xf numFmtId="0" fontId="109" fillId="0" borderId="0" xfId="62" applyFont="1" applyBorder="1">
      <alignment/>
      <protection/>
    </xf>
    <xf numFmtId="0" fontId="0" fillId="0" borderId="59" xfId="62" applyFont="1" applyBorder="1" applyAlignment="1">
      <alignment horizontal="right"/>
      <protection/>
    </xf>
    <xf numFmtId="165" fontId="161" fillId="0" borderId="10" xfId="62" applyNumberFormat="1" applyFont="1" applyBorder="1">
      <alignment/>
      <protection/>
    </xf>
    <xf numFmtId="0" fontId="161" fillId="0" borderId="26" xfId="62" applyFont="1" applyBorder="1">
      <alignment/>
      <protection/>
    </xf>
    <xf numFmtId="0" fontId="161" fillId="0" borderId="11" xfId="62" applyFont="1" applyBorder="1">
      <alignment/>
      <protection/>
    </xf>
    <xf numFmtId="165" fontId="162" fillId="9" borderId="10" xfId="62" applyNumberFormat="1" applyFont="1" applyFill="1" applyBorder="1">
      <alignment/>
      <protection/>
    </xf>
    <xf numFmtId="0" fontId="162" fillId="9" borderId="26" xfId="62" applyFont="1" applyFill="1" applyBorder="1">
      <alignment/>
      <protection/>
    </xf>
    <xf numFmtId="0" fontId="162" fillId="9" borderId="11" xfId="62" applyFont="1" applyFill="1" applyBorder="1">
      <alignment/>
      <protection/>
    </xf>
    <xf numFmtId="0" fontId="159" fillId="0" borderId="25" xfId="62" applyFont="1" applyBorder="1" applyAlignment="1">
      <alignment horizontal="center" vertical="center" wrapText="1"/>
      <protection/>
    </xf>
    <xf numFmtId="0" fontId="163" fillId="11" borderId="10" xfId="62" applyFont="1" applyFill="1" applyBorder="1">
      <alignment/>
      <protection/>
    </xf>
    <xf numFmtId="0" fontId="163" fillId="11" borderId="26" xfId="62" applyFont="1" applyFill="1" applyBorder="1">
      <alignment/>
      <protection/>
    </xf>
    <xf numFmtId="164" fontId="164" fillId="11" borderId="11" xfId="39" applyNumberFormat="1" applyFont="1" applyFill="1" applyBorder="1">
      <alignment/>
      <protection/>
    </xf>
    <xf numFmtId="164" fontId="164" fillId="0" borderId="14" xfId="39" applyNumberFormat="1" applyFont="1" applyFill="1" applyBorder="1">
      <alignment/>
      <protection/>
    </xf>
    <xf numFmtId="0" fontId="163" fillId="11" borderId="10" xfId="62" applyFont="1" applyFill="1" applyBorder="1">
      <alignment/>
      <protection/>
    </xf>
    <xf numFmtId="0" fontId="163" fillId="11" borderId="11" xfId="62" applyFont="1" applyFill="1" applyBorder="1">
      <alignment/>
      <protection/>
    </xf>
    <xf numFmtId="0" fontId="159" fillId="0" borderId="33" xfId="62" applyFont="1" applyBorder="1" applyAlignment="1">
      <alignment horizontal="center" vertical="center" wrapText="1"/>
      <protection/>
    </xf>
    <xf numFmtId="0" fontId="163" fillId="9" borderId="10" xfId="62" applyFont="1" applyFill="1" applyBorder="1">
      <alignment/>
      <protection/>
    </xf>
    <xf numFmtId="0" fontId="163" fillId="9" borderId="26" xfId="62" applyFont="1" applyFill="1" applyBorder="1">
      <alignment/>
      <protection/>
    </xf>
    <xf numFmtId="164" fontId="163" fillId="9" borderId="11" xfId="62" applyNumberFormat="1" applyFont="1" applyFill="1" applyBorder="1">
      <alignment/>
      <protection/>
    </xf>
    <xf numFmtId="0" fontId="163" fillId="0" borderId="36" xfId="62" applyFont="1" applyBorder="1">
      <alignment/>
      <protection/>
    </xf>
    <xf numFmtId="0" fontId="109" fillId="9" borderId="10" xfId="62" applyFont="1" applyFill="1" applyBorder="1">
      <alignment/>
      <protection/>
    </xf>
    <xf numFmtId="0" fontId="163" fillId="9" borderId="11" xfId="62" applyFont="1" applyFill="1" applyBorder="1">
      <alignment/>
      <protection/>
    </xf>
    <xf numFmtId="0" fontId="163" fillId="0" borderId="10" xfId="62" applyFont="1" applyFill="1" applyBorder="1">
      <alignment/>
      <protection/>
    </xf>
    <xf numFmtId="0" fontId="163" fillId="0" borderId="26" xfId="62" applyFont="1" applyFill="1" applyBorder="1">
      <alignment/>
      <protection/>
    </xf>
    <xf numFmtId="164" fontId="163" fillId="0" borderId="11" xfId="62" applyNumberFormat="1" applyFont="1" applyFill="1" applyBorder="1">
      <alignment/>
      <protection/>
    </xf>
    <xf numFmtId="0" fontId="0" fillId="0" borderId="10" xfId="62" applyBorder="1">
      <alignment/>
      <protection/>
    </xf>
    <xf numFmtId="0" fontId="163" fillId="0" borderId="11" xfId="62" applyFont="1" applyBorder="1">
      <alignment/>
      <protection/>
    </xf>
    <xf numFmtId="0" fontId="163" fillId="0" borderId="10" xfId="62" applyFont="1" applyBorder="1">
      <alignment/>
      <protection/>
    </xf>
    <xf numFmtId="0" fontId="163" fillId="0" borderId="26" xfId="62" applyFont="1" applyBorder="1">
      <alignment/>
      <protection/>
    </xf>
    <xf numFmtId="0" fontId="163" fillId="0" borderId="36" xfId="62" applyFont="1" applyBorder="1">
      <alignment/>
      <protection/>
    </xf>
    <xf numFmtId="0" fontId="165" fillId="40" borderId="10" xfId="62" applyFont="1" applyFill="1" applyBorder="1">
      <alignment/>
      <protection/>
    </xf>
    <xf numFmtId="0" fontId="166" fillId="40" borderId="26" xfId="62" applyFont="1" applyFill="1" applyBorder="1">
      <alignment/>
      <protection/>
    </xf>
    <xf numFmtId="0" fontId="163" fillId="40" borderId="26" xfId="62" applyFont="1" applyFill="1" applyBorder="1">
      <alignment/>
      <protection/>
    </xf>
    <xf numFmtId="0" fontId="163" fillId="40" borderId="11" xfId="62" applyFont="1" applyFill="1" applyBorder="1">
      <alignment/>
      <protection/>
    </xf>
    <xf numFmtId="0" fontId="163" fillId="40" borderId="18" xfId="62" applyFont="1" applyFill="1" applyBorder="1">
      <alignment/>
      <protection/>
    </xf>
    <xf numFmtId="0" fontId="159" fillId="0" borderId="39" xfId="62" applyFont="1" applyBorder="1" applyAlignment="1">
      <alignment horizontal="center" vertical="center" wrapText="1"/>
      <protection/>
    </xf>
    <xf numFmtId="0" fontId="167" fillId="0" borderId="70" xfId="62" applyFont="1" applyBorder="1" applyAlignment="1">
      <alignment vertical="center"/>
      <protection/>
    </xf>
    <xf numFmtId="0" fontId="168" fillId="0" borderId="71" xfId="62" applyFont="1" applyBorder="1" applyAlignment="1">
      <alignment vertical="center"/>
      <protection/>
    </xf>
    <xf numFmtId="164" fontId="169" fillId="0" borderId="71" xfId="62" applyNumberFormat="1" applyFont="1" applyBorder="1" applyAlignment="1">
      <alignment vertical="center"/>
      <protection/>
    </xf>
    <xf numFmtId="0" fontId="168" fillId="0" borderId="72" xfId="62" applyFont="1" applyBorder="1" applyAlignment="1">
      <alignment vertical="center"/>
      <protection/>
    </xf>
    <xf numFmtId="0" fontId="168" fillId="0" borderId="18" xfId="62" applyFont="1" applyBorder="1">
      <alignment/>
      <protection/>
    </xf>
    <xf numFmtId="0" fontId="168" fillId="0" borderId="10" xfId="62" applyFont="1" applyBorder="1">
      <alignment/>
      <protection/>
    </xf>
    <xf numFmtId="0" fontId="168" fillId="0" borderId="11" xfId="62" applyFont="1" applyBorder="1">
      <alignment/>
      <protection/>
    </xf>
    <xf numFmtId="0" fontId="0" fillId="0" borderId="0" xfId="62" applyFont="1">
      <alignment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2 2" xfId="35"/>
    <cellStyle name="Normal 2 3" xfId="36"/>
    <cellStyle name="Normal 2 4" xfId="37"/>
    <cellStyle name="Normal 4" xfId="38"/>
    <cellStyle name="Normal 4 2" xfId="39"/>
    <cellStyle name="Normal_Shee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GET_DI-2015-PROIECT%202016-2018_30-10-2015\Buget_INSTITUTII_HINCESTI-precizat-2015_DCR_04-03%20din%2022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cesti2015 MODIF_septembrie"/>
      <sheetName val="HINCESTI_exec_I sem_2015"/>
      <sheetName val="Hincesti2015 MODIF_martie 2015"/>
      <sheetName val="Hincesti2015_APROBAT"/>
      <sheetName val="BUGETUL_2014"/>
      <sheetName val="HINCESTI_EXEC_2014"/>
      <sheetName val="COMP RAION_APR_DGF"/>
    </sheetNames>
    <sheetDataSet>
      <sheetData sheetId="4">
        <row r="60">
          <cell r="V60">
            <v>631.8251478750099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zoomScale="96" zoomScaleNormal="96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I6" sqref="I6"/>
      <selection pane="bottomRight" activeCell="K7" sqref="K7"/>
    </sheetView>
  </sheetViews>
  <sheetFormatPr defaultColWidth="9.140625" defaultRowHeight="15"/>
  <cols>
    <col min="1" max="1" width="4.28125" style="1" customWidth="1"/>
    <col min="2" max="2" width="25.140625" style="1" customWidth="1"/>
    <col min="3" max="3" width="14.140625" style="1" customWidth="1"/>
    <col min="4" max="4" width="9.140625" style="1" hidden="1" customWidth="1"/>
    <col min="5" max="5" width="8.00390625" style="1" hidden="1" customWidth="1"/>
    <col min="6" max="8" width="7.8515625" style="1" hidden="1" customWidth="1"/>
    <col min="9" max="10" width="10.28125" style="1" customWidth="1"/>
    <col min="11" max="11" width="11.140625" style="1" customWidth="1"/>
    <col min="12" max="12" width="9.140625" style="1" customWidth="1"/>
    <col min="13" max="13" width="11.00390625" style="1" bestFit="1" customWidth="1"/>
    <col min="14" max="14" width="9.140625" style="1" customWidth="1"/>
    <col min="15" max="15" width="6.57421875" style="1" customWidth="1"/>
    <col min="16" max="16" width="8.421875" style="1" customWidth="1"/>
    <col min="17" max="17" width="8.00390625" style="1" customWidth="1"/>
    <col min="18" max="18" width="6.28125" style="1" customWidth="1"/>
    <col min="19" max="19" width="7.7109375" style="1" customWidth="1"/>
    <col min="20" max="20" width="4.8515625" style="1" customWidth="1"/>
    <col min="21" max="21" width="11.8515625" style="1" customWidth="1"/>
    <col min="22" max="22" width="13.57421875" style="1" customWidth="1"/>
    <col min="23" max="24" width="9.140625" style="1" customWidth="1"/>
    <col min="25" max="25" width="11.7109375" style="1" customWidth="1"/>
    <col min="26" max="26" width="8.140625" style="1" customWidth="1"/>
    <col min="27" max="27" width="9.8515625" style="1" customWidth="1"/>
    <col min="28" max="28" width="11.140625" style="1" customWidth="1"/>
    <col min="29" max="29" width="10.421875" style="1" customWidth="1"/>
    <col min="30" max="30" width="8.00390625" style="1" hidden="1" customWidth="1"/>
    <col min="31" max="31" width="12.421875" style="1" customWidth="1"/>
    <col min="32" max="32" width="13.140625" style="1" customWidth="1"/>
    <col min="33" max="16384" width="9.140625" style="1" customWidth="1"/>
  </cols>
  <sheetData>
    <row r="1" spans="2:22" ht="16.5" thickBot="1">
      <c r="B1" s="2" t="s">
        <v>0</v>
      </c>
      <c r="C1" s="2"/>
      <c r="D1" s="3"/>
      <c r="E1" s="3"/>
      <c r="F1" s="3"/>
      <c r="G1" s="4"/>
      <c r="H1" s="4"/>
      <c r="I1" s="5"/>
      <c r="K1" s="6" t="s">
        <v>1</v>
      </c>
      <c r="L1" s="7">
        <v>428982</v>
      </c>
      <c r="M1" s="8" t="s">
        <v>2</v>
      </c>
      <c r="N1" s="9"/>
      <c r="O1" s="10"/>
      <c r="P1" s="10"/>
      <c r="Q1" s="10"/>
      <c r="R1" s="10"/>
      <c r="S1" s="10"/>
      <c r="T1" s="10"/>
      <c r="U1" s="10"/>
      <c r="V1" s="11"/>
    </row>
    <row r="2" spans="2:22" ht="16.5" thickBot="1">
      <c r="B2" s="12" t="s">
        <v>3</v>
      </c>
      <c r="C2" s="13"/>
      <c r="D2" s="13"/>
      <c r="E2" s="13"/>
      <c r="F2" s="13"/>
      <c r="G2" s="13"/>
      <c r="H2" s="13"/>
      <c r="I2" s="13"/>
      <c r="J2" s="14"/>
      <c r="K2" s="15" t="s">
        <v>4</v>
      </c>
      <c r="L2" s="16">
        <v>8771</v>
      </c>
      <c r="M2" s="17" t="s">
        <v>2</v>
      </c>
      <c r="N2" s="18" t="s">
        <v>5</v>
      </c>
      <c r="O2" s="19"/>
      <c r="P2" s="19"/>
      <c r="Q2" s="19"/>
      <c r="R2" s="19"/>
      <c r="S2" s="19"/>
      <c r="T2" s="20"/>
      <c r="U2" s="21">
        <f>K62+10456+2420.1</f>
        <v>121007.1</v>
      </c>
      <c r="V2" s="22" t="s">
        <v>6</v>
      </c>
    </row>
    <row r="3" spans="1:30" ht="16.5" thickBot="1">
      <c r="A3" s="23"/>
      <c r="B3" s="24" t="s">
        <v>7</v>
      </c>
      <c r="C3" s="25" t="s">
        <v>8</v>
      </c>
      <c r="D3" s="26" t="s">
        <v>9</v>
      </c>
      <c r="E3" s="26" t="s">
        <v>10</v>
      </c>
      <c r="F3" s="26" t="s">
        <v>11</v>
      </c>
      <c r="G3" s="26" t="s">
        <v>12</v>
      </c>
      <c r="H3" s="27" t="s">
        <v>13</v>
      </c>
      <c r="I3" s="28" t="s">
        <v>14</v>
      </c>
      <c r="J3" s="29" t="s">
        <v>15</v>
      </c>
      <c r="K3" s="30" t="s">
        <v>16</v>
      </c>
      <c r="L3" s="31" t="s">
        <v>17</v>
      </c>
      <c r="M3" s="32"/>
      <c r="N3" s="32"/>
      <c r="O3" s="32"/>
      <c r="P3" s="32"/>
      <c r="Q3" s="32"/>
      <c r="R3" s="32"/>
      <c r="S3" s="32"/>
      <c r="T3" s="32"/>
      <c r="U3" s="33" t="s">
        <v>18</v>
      </c>
      <c r="V3" s="34" t="s">
        <v>19</v>
      </c>
      <c r="W3" s="35" t="s">
        <v>20</v>
      </c>
      <c r="X3" s="36"/>
      <c r="Y3" s="36"/>
      <c r="Z3" s="36"/>
      <c r="AA3" s="36"/>
      <c r="AB3" s="37"/>
      <c r="AC3" s="38" t="s">
        <v>21</v>
      </c>
      <c r="AD3" s="39" t="s">
        <v>22</v>
      </c>
    </row>
    <row r="4" spans="1:30" ht="15.75" thickBot="1">
      <c r="A4" s="40"/>
      <c r="B4" s="41"/>
      <c r="C4" s="42"/>
      <c r="D4" s="43"/>
      <c r="E4" s="43"/>
      <c r="F4" s="44"/>
      <c r="G4" s="44"/>
      <c r="H4" s="45"/>
      <c r="I4" s="46"/>
      <c r="J4" s="47"/>
      <c r="K4" s="48"/>
      <c r="L4" s="49" t="s">
        <v>23</v>
      </c>
      <c r="M4" s="50" t="s">
        <v>24</v>
      </c>
      <c r="N4" s="51"/>
      <c r="O4" s="51"/>
      <c r="P4" s="51"/>
      <c r="Q4" s="51"/>
      <c r="R4" s="51"/>
      <c r="S4" s="51"/>
      <c r="T4" s="52"/>
      <c r="U4" s="53"/>
      <c r="V4" s="54"/>
      <c r="W4" s="55"/>
      <c r="X4" s="56"/>
      <c r="Y4" s="56"/>
      <c r="Z4" s="56"/>
      <c r="AA4" s="56"/>
      <c r="AB4" s="57"/>
      <c r="AC4" s="58"/>
      <c r="AD4" s="59"/>
    </row>
    <row r="5" spans="1:32" ht="177.75" customHeight="1" thickBot="1">
      <c r="A5" s="60"/>
      <c r="B5" s="61"/>
      <c r="C5" s="42"/>
      <c r="D5" s="43"/>
      <c r="E5" s="43"/>
      <c r="F5" s="44"/>
      <c r="G5" s="44"/>
      <c r="H5" s="45"/>
      <c r="I5" s="62"/>
      <c r="J5" s="47"/>
      <c r="K5" s="48"/>
      <c r="L5" s="63"/>
      <c r="M5" s="64" t="s">
        <v>25</v>
      </c>
      <c r="N5" s="65" t="s">
        <v>26</v>
      </c>
      <c r="O5" s="65" t="s">
        <v>27</v>
      </c>
      <c r="P5" s="65" t="s">
        <v>28</v>
      </c>
      <c r="Q5" s="65" t="s">
        <v>29</v>
      </c>
      <c r="R5" s="65" t="s">
        <v>30</v>
      </c>
      <c r="S5" s="66" t="s">
        <v>31</v>
      </c>
      <c r="T5" s="67" t="s">
        <v>32</v>
      </c>
      <c r="U5" s="53"/>
      <c r="V5" s="54"/>
      <c r="W5" s="68" t="s">
        <v>33</v>
      </c>
      <c r="X5" s="69" t="s">
        <v>34</v>
      </c>
      <c r="Y5" s="70" t="s">
        <v>35</v>
      </c>
      <c r="Z5" s="71" t="s">
        <v>36</v>
      </c>
      <c r="AA5" s="72" t="s">
        <v>37</v>
      </c>
      <c r="AB5" s="73" t="s">
        <v>38</v>
      </c>
      <c r="AC5" s="58"/>
      <c r="AD5" s="74"/>
      <c r="AE5" s="75" t="s">
        <v>39</v>
      </c>
      <c r="AF5" s="76" t="s">
        <v>40</v>
      </c>
    </row>
    <row r="6" spans="1:32" ht="10.5" customHeight="1" thickBot="1">
      <c r="A6" s="77">
        <v>1</v>
      </c>
      <c r="B6" s="78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80">
        <v>10</v>
      </c>
      <c r="K6" s="81">
        <v>11</v>
      </c>
      <c r="L6" s="82">
        <v>12</v>
      </c>
      <c r="M6" s="83">
        <v>13</v>
      </c>
      <c r="N6" s="79">
        <v>14</v>
      </c>
      <c r="O6" s="78">
        <v>15</v>
      </c>
      <c r="P6" s="78">
        <v>16</v>
      </c>
      <c r="Q6" s="78">
        <v>17</v>
      </c>
      <c r="R6" s="78">
        <v>18</v>
      </c>
      <c r="S6" s="84">
        <v>19</v>
      </c>
      <c r="T6" s="85">
        <v>20</v>
      </c>
      <c r="U6" s="86">
        <v>21</v>
      </c>
      <c r="V6" s="87" t="s">
        <v>41</v>
      </c>
      <c r="W6" s="88">
        <v>23</v>
      </c>
      <c r="X6" s="78">
        <v>24</v>
      </c>
      <c r="Y6" s="78">
        <v>25</v>
      </c>
      <c r="Z6" s="80">
        <v>28</v>
      </c>
      <c r="AA6" s="78">
        <v>27</v>
      </c>
      <c r="AB6" s="80">
        <v>28</v>
      </c>
      <c r="AC6" s="89" t="s">
        <v>42</v>
      </c>
      <c r="AD6" s="82">
        <v>30</v>
      </c>
      <c r="AE6" s="90"/>
      <c r="AF6" s="90"/>
    </row>
    <row r="7" spans="1:32" ht="15.75" customHeight="1" thickBot="1">
      <c r="A7" s="91">
        <v>1</v>
      </c>
      <c r="B7" s="92" t="s">
        <v>43</v>
      </c>
      <c r="C7" s="93" t="s">
        <v>44</v>
      </c>
      <c r="D7" s="94">
        <v>338</v>
      </c>
      <c r="E7" s="95" t="s">
        <v>45</v>
      </c>
      <c r="F7" s="96">
        <v>351</v>
      </c>
      <c r="G7" s="96">
        <v>346</v>
      </c>
      <c r="H7" s="96">
        <v>214</v>
      </c>
      <c r="I7" s="97">
        <f aca="true" t="shared" si="0" ref="I7:I62">SUM(F7:H7)</f>
        <v>911</v>
      </c>
      <c r="J7" s="98">
        <v>870</v>
      </c>
      <c r="K7" s="99">
        <v>7656.8</v>
      </c>
      <c r="L7" s="100"/>
      <c r="M7" s="101">
        <f>SUM(N7:T7)</f>
        <v>363.6</v>
      </c>
      <c r="N7" s="102"/>
      <c r="O7" s="102">
        <v>290</v>
      </c>
      <c r="P7" s="103"/>
      <c r="Q7" s="102">
        <v>73.6</v>
      </c>
      <c r="R7" s="102"/>
      <c r="S7" s="104"/>
      <c r="T7" s="105"/>
      <c r="U7" s="106">
        <v>52.5</v>
      </c>
      <c r="V7" s="107">
        <f>K7+M7+U7</f>
        <v>8072.900000000001</v>
      </c>
      <c r="W7" s="108">
        <f>SUM(X7:AB7)</f>
        <v>1239.585929</v>
      </c>
      <c r="X7" s="109">
        <f>F7*171*6.949/1000</f>
        <v>417.085929</v>
      </c>
      <c r="Y7" s="110">
        <v>11.8</v>
      </c>
      <c r="Z7" s="111">
        <v>50</v>
      </c>
      <c r="AA7" s="111">
        <v>760.7</v>
      </c>
      <c r="AB7" s="111"/>
      <c r="AC7" s="112">
        <f>W7+V7</f>
        <v>9312.485929</v>
      </c>
      <c r="AD7" s="113" t="s">
        <v>46</v>
      </c>
      <c r="AE7" s="114">
        <v>9238.9</v>
      </c>
      <c r="AF7" s="115">
        <f>AE7-AC7</f>
        <v>-73.58592900000076</v>
      </c>
    </row>
    <row r="8" spans="1:32" ht="15.75" customHeight="1" thickBot="1">
      <c r="A8" s="116">
        <v>2</v>
      </c>
      <c r="B8" s="117" t="s">
        <v>47</v>
      </c>
      <c r="C8" s="118" t="s">
        <v>44</v>
      </c>
      <c r="D8" s="119">
        <v>338</v>
      </c>
      <c r="E8" s="120" t="s">
        <v>45</v>
      </c>
      <c r="F8" s="121">
        <v>251</v>
      </c>
      <c r="G8" s="121">
        <v>260</v>
      </c>
      <c r="H8" s="121">
        <v>193</v>
      </c>
      <c r="I8" s="122">
        <f t="shared" si="0"/>
        <v>704</v>
      </c>
      <c r="J8" s="123">
        <v>683</v>
      </c>
      <c r="K8" s="124">
        <v>6098.6</v>
      </c>
      <c r="L8" s="100"/>
      <c r="M8" s="125">
        <f aca="true" t="shared" si="1" ref="M8:M59">SUM(N8:T8)</f>
        <v>237.1</v>
      </c>
      <c r="N8" s="126"/>
      <c r="O8" s="126"/>
      <c r="P8" s="127"/>
      <c r="Q8" s="126">
        <v>237.1</v>
      </c>
      <c r="R8" s="126"/>
      <c r="S8" s="128"/>
      <c r="T8" s="129"/>
      <c r="U8" s="106">
        <v>54.2</v>
      </c>
      <c r="V8" s="107">
        <f aca="true" t="shared" si="2" ref="V8:V58">K8+M8+U8</f>
        <v>6389.900000000001</v>
      </c>
      <c r="W8" s="108">
        <f aca="true" t="shared" si="3" ref="W8:W62">SUM(X8:AB8)</f>
        <v>646.758029</v>
      </c>
      <c r="X8" s="109">
        <f aca="true" t="shared" si="4" ref="X8:X18">F8*171*6.949/1000</f>
        <v>298.25802899999996</v>
      </c>
      <c r="Y8" s="130">
        <v>25.2</v>
      </c>
      <c r="Z8" s="131"/>
      <c r="AA8" s="131">
        <v>323.3</v>
      </c>
      <c r="AB8" s="131"/>
      <c r="AC8" s="112">
        <f aca="true" t="shared" si="5" ref="AC8:AC59">W8+V8</f>
        <v>7036.658029</v>
      </c>
      <c r="AD8" s="132" t="s">
        <v>46</v>
      </c>
      <c r="AE8" s="114">
        <v>6451</v>
      </c>
      <c r="AF8" s="115">
        <f aca="true" t="shared" si="6" ref="AF8:AF57">AE8-AC8</f>
        <v>-585.6580290000002</v>
      </c>
    </row>
    <row r="9" spans="1:33" ht="15.75" customHeight="1" thickBot="1">
      <c r="A9" s="133">
        <v>3</v>
      </c>
      <c r="B9" s="134" t="s">
        <v>48</v>
      </c>
      <c r="C9" s="135" t="s">
        <v>44</v>
      </c>
      <c r="D9" s="136">
        <v>338</v>
      </c>
      <c r="E9" s="137" t="s">
        <v>49</v>
      </c>
      <c r="F9" s="138">
        <v>30</v>
      </c>
      <c r="G9" s="138">
        <v>30</v>
      </c>
      <c r="H9" s="138">
        <v>16</v>
      </c>
      <c r="I9" s="138">
        <f t="shared" si="0"/>
        <v>76</v>
      </c>
      <c r="J9" s="139">
        <v>72</v>
      </c>
      <c r="K9" s="140">
        <v>922.4</v>
      </c>
      <c r="L9" s="100"/>
      <c r="M9" s="141">
        <f t="shared" si="1"/>
        <v>0</v>
      </c>
      <c r="N9" s="142"/>
      <c r="O9" s="142"/>
      <c r="P9" s="142"/>
      <c r="Q9" s="142"/>
      <c r="R9" s="142"/>
      <c r="S9" s="143"/>
      <c r="T9" s="144"/>
      <c r="U9" s="145"/>
      <c r="V9" s="144">
        <f t="shared" si="2"/>
        <v>922.4</v>
      </c>
      <c r="W9" s="146">
        <f t="shared" si="3"/>
        <v>99.14837</v>
      </c>
      <c r="X9" s="109">
        <f t="shared" si="4"/>
        <v>35.64837</v>
      </c>
      <c r="Y9" s="147">
        <v>6.3</v>
      </c>
      <c r="Z9" s="148"/>
      <c r="AA9" s="148">
        <v>57.2</v>
      </c>
      <c r="AB9" s="148"/>
      <c r="AC9" s="149">
        <f t="shared" si="5"/>
        <v>1021.54837</v>
      </c>
      <c r="AD9" s="150" t="s">
        <v>46</v>
      </c>
      <c r="AE9" s="114">
        <v>1021.5</v>
      </c>
      <c r="AF9" s="115">
        <f t="shared" si="6"/>
        <v>-0.048369999999977153</v>
      </c>
      <c r="AG9" s="151"/>
    </row>
    <row r="10" spans="1:32" ht="15.75" customHeight="1" thickBot="1">
      <c r="A10" s="116">
        <v>4</v>
      </c>
      <c r="B10" s="117" t="s">
        <v>50</v>
      </c>
      <c r="C10" s="152" t="s">
        <v>51</v>
      </c>
      <c r="D10" s="119">
        <v>338</v>
      </c>
      <c r="E10" s="120" t="s">
        <v>45</v>
      </c>
      <c r="F10" s="121">
        <v>102</v>
      </c>
      <c r="G10" s="121">
        <v>174</v>
      </c>
      <c r="H10" s="121">
        <v>39</v>
      </c>
      <c r="I10" s="122">
        <f t="shared" si="0"/>
        <v>315</v>
      </c>
      <c r="J10" s="123">
        <v>298</v>
      </c>
      <c r="K10" s="124">
        <v>2890.6</v>
      </c>
      <c r="L10" s="100"/>
      <c r="M10" s="125">
        <f t="shared" si="1"/>
        <v>860</v>
      </c>
      <c r="N10" s="126"/>
      <c r="O10" s="126"/>
      <c r="P10" s="127"/>
      <c r="Q10" s="126">
        <f>800+60</f>
        <v>860</v>
      </c>
      <c r="R10" s="126"/>
      <c r="S10" s="128"/>
      <c r="T10" s="129"/>
      <c r="U10" s="106">
        <v>103.5</v>
      </c>
      <c r="V10" s="107">
        <f t="shared" si="2"/>
        <v>3854.1</v>
      </c>
      <c r="W10" s="108">
        <f t="shared" si="3"/>
        <v>474.904458</v>
      </c>
      <c r="X10" s="109">
        <f t="shared" si="4"/>
        <v>121.204458</v>
      </c>
      <c r="Y10" s="153">
        <v>22.7</v>
      </c>
      <c r="Z10" s="154">
        <v>50</v>
      </c>
      <c r="AA10" s="154">
        <v>281</v>
      </c>
      <c r="AB10" s="154"/>
      <c r="AC10" s="112">
        <f t="shared" si="5"/>
        <v>4329.004457999999</v>
      </c>
      <c r="AD10" s="132" t="s">
        <v>46</v>
      </c>
      <c r="AE10" s="114">
        <v>3165.3</v>
      </c>
      <c r="AF10" s="115">
        <f t="shared" si="6"/>
        <v>-1163.7044579999992</v>
      </c>
    </row>
    <row r="11" spans="1:32" ht="15.75" customHeight="1" thickBot="1">
      <c r="A11" s="116">
        <v>5</v>
      </c>
      <c r="B11" s="117" t="s">
        <v>52</v>
      </c>
      <c r="C11" s="152" t="s">
        <v>53</v>
      </c>
      <c r="D11" s="119">
        <v>338</v>
      </c>
      <c r="E11" s="120" t="s">
        <v>45</v>
      </c>
      <c r="F11" s="121">
        <v>135</v>
      </c>
      <c r="G11" s="121">
        <v>183</v>
      </c>
      <c r="H11" s="121">
        <v>69</v>
      </c>
      <c r="I11" s="122">
        <f t="shared" si="0"/>
        <v>387</v>
      </c>
      <c r="J11" s="123">
        <v>368</v>
      </c>
      <c r="K11" s="124">
        <v>3473.9</v>
      </c>
      <c r="L11" s="100"/>
      <c r="M11" s="125">
        <f t="shared" si="1"/>
        <v>0</v>
      </c>
      <c r="N11" s="126"/>
      <c r="O11" s="126"/>
      <c r="P11" s="127"/>
      <c r="Q11" s="126"/>
      <c r="R11" s="126"/>
      <c r="S11" s="128"/>
      <c r="T11" s="129"/>
      <c r="U11" s="106">
        <v>60.4</v>
      </c>
      <c r="V11" s="107">
        <f t="shared" si="2"/>
        <v>3534.3</v>
      </c>
      <c r="W11" s="108">
        <f t="shared" si="3"/>
        <v>373.01766499999997</v>
      </c>
      <c r="X11" s="109">
        <f t="shared" si="4"/>
        <v>160.417665</v>
      </c>
      <c r="Y11" s="153">
        <v>21.4</v>
      </c>
      <c r="Z11" s="154"/>
      <c r="AA11" s="154">
        <v>191.2</v>
      </c>
      <c r="AB11" s="154"/>
      <c r="AC11" s="112">
        <f t="shared" si="5"/>
        <v>3907.317665</v>
      </c>
      <c r="AD11" s="132" t="s">
        <v>46</v>
      </c>
      <c r="AE11" s="114">
        <v>3889.4</v>
      </c>
      <c r="AF11" s="115">
        <f t="shared" si="6"/>
        <v>-17.917664999999943</v>
      </c>
    </row>
    <row r="12" spans="1:32" ht="15.75" customHeight="1" thickBot="1">
      <c r="A12" s="116">
        <v>6</v>
      </c>
      <c r="B12" s="117" t="s">
        <v>54</v>
      </c>
      <c r="C12" s="152" t="s">
        <v>55</v>
      </c>
      <c r="D12" s="119">
        <v>338</v>
      </c>
      <c r="E12" s="120" t="s">
        <v>45</v>
      </c>
      <c r="F12" s="121">
        <v>252</v>
      </c>
      <c r="G12" s="121">
        <v>274</v>
      </c>
      <c r="H12" s="121">
        <v>156</v>
      </c>
      <c r="I12" s="122">
        <f t="shared" si="0"/>
        <v>682</v>
      </c>
      <c r="J12" s="123">
        <v>653</v>
      </c>
      <c r="K12" s="124">
        <v>5848.6</v>
      </c>
      <c r="L12" s="100"/>
      <c r="M12" s="125">
        <f t="shared" si="1"/>
        <v>416.6</v>
      </c>
      <c r="N12" s="126">
        <v>54.7</v>
      </c>
      <c r="O12" s="126">
        <v>196.9</v>
      </c>
      <c r="P12" s="127"/>
      <c r="Q12" s="126">
        <v>165</v>
      </c>
      <c r="R12" s="126"/>
      <c r="S12" s="128"/>
      <c r="T12" s="129"/>
      <c r="U12" s="106">
        <v>120.6</v>
      </c>
      <c r="V12" s="107">
        <f t="shared" si="2"/>
        <v>6385.800000000001</v>
      </c>
      <c r="W12" s="108">
        <f t="shared" si="3"/>
        <v>559.946308</v>
      </c>
      <c r="X12" s="109">
        <f t="shared" si="4"/>
        <v>299.44630800000004</v>
      </c>
      <c r="Y12" s="130">
        <v>21</v>
      </c>
      <c r="Z12" s="131">
        <v>50</v>
      </c>
      <c r="AA12" s="131">
        <v>189.5</v>
      </c>
      <c r="AB12" s="131"/>
      <c r="AC12" s="112">
        <f t="shared" si="5"/>
        <v>6945.746308000002</v>
      </c>
      <c r="AD12" s="132" t="s">
        <v>46</v>
      </c>
      <c r="AE12" s="114">
        <v>6570.2</v>
      </c>
      <c r="AF12" s="115">
        <f t="shared" si="6"/>
        <v>-375.5463080000018</v>
      </c>
    </row>
    <row r="13" spans="1:32" ht="15.75" customHeight="1" thickBot="1">
      <c r="A13" s="116">
        <v>7</v>
      </c>
      <c r="B13" s="117" t="s">
        <v>56</v>
      </c>
      <c r="C13" s="152" t="s">
        <v>57</v>
      </c>
      <c r="D13" s="119">
        <v>338</v>
      </c>
      <c r="E13" s="120" t="s">
        <v>45</v>
      </c>
      <c r="F13" s="121">
        <v>146</v>
      </c>
      <c r="G13" s="121">
        <v>185</v>
      </c>
      <c r="H13" s="121">
        <v>59</v>
      </c>
      <c r="I13" s="122">
        <f t="shared" si="0"/>
        <v>390</v>
      </c>
      <c r="J13" s="123">
        <v>367</v>
      </c>
      <c r="K13" s="124">
        <v>3465.5</v>
      </c>
      <c r="L13" s="100"/>
      <c r="M13" s="125">
        <f t="shared" si="1"/>
        <v>450</v>
      </c>
      <c r="N13" s="126"/>
      <c r="O13" s="126"/>
      <c r="P13" s="127"/>
      <c r="Q13" s="126">
        <v>450</v>
      </c>
      <c r="R13" s="126"/>
      <c r="S13" s="128"/>
      <c r="T13" s="129"/>
      <c r="U13" s="106">
        <v>51.9</v>
      </c>
      <c r="V13" s="107">
        <f t="shared" si="2"/>
        <v>3967.4</v>
      </c>
      <c r="W13" s="108">
        <f t="shared" si="3"/>
        <v>492.18873399999995</v>
      </c>
      <c r="X13" s="109">
        <f t="shared" si="4"/>
        <v>173.488734</v>
      </c>
      <c r="Y13" s="130">
        <v>9.2</v>
      </c>
      <c r="Z13" s="131">
        <v>50</v>
      </c>
      <c r="AA13" s="131">
        <v>259.5</v>
      </c>
      <c r="AB13" s="131"/>
      <c r="AC13" s="112">
        <f t="shared" si="5"/>
        <v>4459.588734</v>
      </c>
      <c r="AD13" s="132" t="s">
        <v>46</v>
      </c>
      <c r="AE13" s="114">
        <v>3959.6</v>
      </c>
      <c r="AF13" s="115">
        <f t="shared" si="6"/>
        <v>-499.988734</v>
      </c>
    </row>
    <row r="14" spans="1:32" ht="15.75" customHeight="1" thickBot="1">
      <c r="A14" s="116">
        <v>8</v>
      </c>
      <c r="B14" s="117" t="s">
        <v>58</v>
      </c>
      <c r="C14" s="152" t="s">
        <v>59</v>
      </c>
      <c r="D14" s="119">
        <v>338</v>
      </c>
      <c r="E14" s="155" t="s">
        <v>60</v>
      </c>
      <c r="F14" s="121">
        <f>68+96</f>
        <v>164</v>
      </c>
      <c r="G14" s="121">
        <f>72+154</f>
        <v>226</v>
      </c>
      <c r="H14" s="121">
        <f>33</f>
        <v>33</v>
      </c>
      <c r="I14" s="122">
        <f t="shared" si="0"/>
        <v>423</v>
      </c>
      <c r="J14" s="123">
        <v>389</v>
      </c>
      <c r="K14" s="124">
        <v>3648.9</v>
      </c>
      <c r="L14" s="100"/>
      <c r="M14" s="125">
        <f t="shared" si="1"/>
        <v>250</v>
      </c>
      <c r="N14" s="126"/>
      <c r="O14" s="126"/>
      <c r="P14" s="127"/>
      <c r="Q14" s="126">
        <v>250</v>
      </c>
      <c r="R14" s="126"/>
      <c r="S14" s="128"/>
      <c r="T14" s="129"/>
      <c r="U14" s="156">
        <f>60.3+40</f>
        <v>100.3</v>
      </c>
      <c r="V14" s="107">
        <f t="shared" si="2"/>
        <v>3999.2000000000003</v>
      </c>
      <c r="W14" s="108">
        <f t="shared" si="3"/>
        <v>402.27775599999995</v>
      </c>
      <c r="X14" s="109">
        <f t="shared" si="4"/>
        <v>194.877756</v>
      </c>
      <c r="Y14" s="130">
        <v>15.5</v>
      </c>
      <c r="Z14" s="131">
        <v>50</v>
      </c>
      <c r="AA14" s="131">
        <v>141.9</v>
      </c>
      <c r="AB14" s="131"/>
      <c r="AC14" s="112">
        <f t="shared" si="5"/>
        <v>4401.477756</v>
      </c>
      <c r="AD14" s="132" t="s">
        <v>46</v>
      </c>
      <c r="AE14" s="114">
        <f>4351.5+50</f>
        <v>4401.5</v>
      </c>
      <c r="AF14" s="115">
        <f t="shared" si="6"/>
        <v>0.022243999999773223</v>
      </c>
    </row>
    <row r="15" spans="1:32" ht="15.75" customHeight="1" thickBot="1">
      <c r="A15" s="116">
        <v>9</v>
      </c>
      <c r="B15" s="117" t="s">
        <v>61</v>
      </c>
      <c r="C15" s="152" t="s">
        <v>62</v>
      </c>
      <c r="D15" s="119">
        <v>338</v>
      </c>
      <c r="E15" s="120" t="s">
        <v>45</v>
      </c>
      <c r="F15" s="121">
        <v>213</v>
      </c>
      <c r="G15" s="121">
        <v>235</v>
      </c>
      <c r="H15" s="121">
        <v>86</v>
      </c>
      <c r="I15" s="122">
        <f t="shared" si="0"/>
        <v>534</v>
      </c>
      <c r="J15" s="123">
        <v>501</v>
      </c>
      <c r="K15" s="124">
        <v>4582.1</v>
      </c>
      <c r="L15" s="157"/>
      <c r="M15" s="125">
        <f t="shared" si="1"/>
        <v>594.3</v>
      </c>
      <c r="N15" s="126">
        <v>138.9</v>
      </c>
      <c r="O15" s="126">
        <v>130.4</v>
      </c>
      <c r="P15" s="127"/>
      <c r="Q15" s="126">
        <v>205</v>
      </c>
      <c r="R15" s="126"/>
      <c r="S15" s="128">
        <v>120</v>
      </c>
      <c r="T15" s="129"/>
      <c r="U15" s="106">
        <v>116.3</v>
      </c>
      <c r="V15" s="107">
        <f t="shared" si="2"/>
        <v>5292.700000000001</v>
      </c>
      <c r="W15" s="108">
        <f t="shared" si="3"/>
        <v>781.7034269999999</v>
      </c>
      <c r="X15" s="109">
        <f t="shared" si="4"/>
        <v>253.10342699999998</v>
      </c>
      <c r="Y15" s="130">
        <v>16.4</v>
      </c>
      <c r="Z15" s="131">
        <v>50</v>
      </c>
      <c r="AA15" s="131">
        <v>462.2</v>
      </c>
      <c r="AB15" s="131"/>
      <c r="AC15" s="112">
        <f t="shared" si="5"/>
        <v>6074.403427000001</v>
      </c>
      <c r="AD15" s="132" t="s">
        <v>46</v>
      </c>
      <c r="AE15" s="114">
        <f>5803.4+140.1+138.9+50</f>
        <v>6132.4</v>
      </c>
      <c r="AF15" s="115">
        <f t="shared" si="6"/>
        <v>57.996572999998534</v>
      </c>
    </row>
    <row r="16" spans="1:32" ht="15.75" customHeight="1" thickBot="1">
      <c r="A16" s="116">
        <v>10</v>
      </c>
      <c r="B16" s="117" t="s">
        <v>63</v>
      </c>
      <c r="C16" s="152" t="s">
        <v>64</v>
      </c>
      <c r="D16" s="119">
        <v>338</v>
      </c>
      <c r="E16" s="120" t="s">
        <v>45</v>
      </c>
      <c r="F16" s="121">
        <v>84</v>
      </c>
      <c r="G16" s="121">
        <v>113</v>
      </c>
      <c r="H16" s="121">
        <v>20</v>
      </c>
      <c r="I16" s="122">
        <f t="shared" si="0"/>
        <v>217</v>
      </c>
      <c r="J16" s="123">
        <v>200</v>
      </c>
      <c r="K16" s="124">
        <v>2074</v>
      </c>
      <c r="L16" s="157"/>
      <c r="M16" s="125">
        <f t="shared" si="1"/>
        <v>28.3</v>
      </c>
      <c r="N16" s="126">
        <v>28.3</v>
      </c>
      <c r="O16" s="126"/>
      <c r="P16" s="158"/>
      <c r="Q16" s="126"/>
      <c r="R16" s="126"/>
      <c r="S16" s="128"/>
      <c r="T16" s="129"/>
      <c r="U16" s="106">
        <f>63+9+0.8</f>
        <v>72.8</v>
      </c>
      <c r="V16" s="107">
        <f t="shared" si="2"/>
        <v>2175.1000000000004</v>
      </c>
      <c r="W16" s="108">
        <f t="shared" si="3"/>
        <v>244.11543600000002</v>
      </c>
      <c r="X16" s="109">
        <f t="shared" si="4"/>
        <v>99.815436</v>
      </c>
      <c r="Y16" s="130">
        <v>5</v>
      </c>
      <c r="Z16" s="131"/>
      <c r="AA16" s="131">
        <v>139.3</v>
      </c>
      <c r="AB16" s="131"/>
      <c r="AC16" s="112">
        <f t="shared" si="5"/>
        <v>2419.2154360000004</v>
      </c>
      <c r="AD16" s="132" t="s">
        <v>46</v>
      </c>
      <c r="AE16" s="114">
        <v>2404.4</v>
      </c>
      <c r="AF16" s="115">
        <f t="shared" si="6"/>
        <v>-14.815436000000318</v>
      </c>
    </row>
    <row r="17" spans="1:32" ht="15.75" customHeight="1" thickBot="1">
      <c r="A17" s="116">
        <v>11</v>
      </c>
      <c r="B17" s="117" t="s">
        <v>65</v>
      </c>
      <c r="C17" s="152" t="s">
        <v>66</v>
      </c>
      <c r="D17" s="119">
        <v>338</v>
      </c>
      <c r="E17" s="120" t="s">
        <v>45</v>
      </c>
      <c r="F17" s="121"/>
      <c r="G17" s="121">
        <v>350</v>
      </c>
      <c r="H17" s="121">
        <v>36</v>
      </c>
      <c r="I17" s="122">
        <f t="shared" si="0"/>
        <v>386</v>
      </c>
      <c r="J17" s="123">
        <v>394</v>
      </c>
      <c r="K17" s="124">
        <v>3690.5</v>
      </c>
      <c r="L17" s="157"/>
      <c r="M17" s="125">
        <f t="shared" si="1"/>
        <v>781</v>
      </c>
      <c r="N17" s="126"/>
      <c r="O17" s="126"/>
      <c r="P17" s="127"/>
      <c r="Q17" s="126">
        <v>781</v>
      </c>
      <c r="R17" s="126"/>
      <c r="S17" s="128"/>
      <c r="T17" s="129"/>
      <c r="U17" s="106">
        <v>58.2</v>
      </c>
      <c r="V17" s="107">
        <f t="shared" si="2"/>
        <v>4529.7</v>
      </c>
      <c r="W17" s="108">
        <f t="shared" si="3"/>
        <v>607</v>
      </c>
      <c r="X17" s="109">
        <f t="shared" si="4"/>
        <v>0</v>
      </c>
      <c r="Y17" s="130">
        <v>53.8</v>
      </c>
      <c r="Z17" s="131"/>
      <c r="AA17" s="131">
        <v>553.2</v>
      </c>
      <c r="AB17" s="131"/>
      <c r="AC17" s="112">
        <f t="shared" si="5"/>
        <v>5136.7</v>
      </c>
      <c r="AD17" s="132" t="s">
        <v>46</v>
      </c>
      <c r="AE17" s="114">
        <v>4355.7</v>
      </c>
      <c r="AF17" s="115">
        <f t="shared" si="6"/>
        <v>-781</v>
      </c>
    </row>
    <row r="18" spans="1:32" ht="15.75" customHeight="1" thickBot="1">
      <c r="A18" s="159">
        <v>12</v>
      </c>
      <c r="B18" s="160" t="s">
        <v>67</v>
      </c>
      <c r="C18" s="161" t="s">
        <v>68</v>
      </c>
      <c r="D18" s="162">
        <v>338</v>
      </c>
      <c r="E18" s="163" t="s">
        <v>60</v>
      </c>
      <c r="F18" s="164">
        <v>250</v>
      </c>
      <c r="G18" s="164">
        <f>263+65</f>
        <v>328</v>
      </c>
      <c r="H18" s="164">
        <f>47+19</f>
        <v>66</v>
      </c>
      <c r="I18" s="165">
        <f t="shared" si="0"/>
        <v>644</v>
      </c>
      <c r="J18" s="166">
        <v>596</v>
      </c>
      <c r="K18" s="167">
        <v>5373.7</v>
      </c>
      <c r="L18" s="168"/>
      <c r="M18" s="169">
        <f t="shared" si="1"/>
        <v>1092.2</v>
      </c>
      <c r="N18" s="170">
        <f>117.3+36+138.9</f>
        <v>292.20000000000005</v>
      </c>
      <c r="O18" s="170"/>
      <c r="P18" s="171"/>
      <c r="Q18" s="170">
        <v>400</v>
      </c>
      <c r="R18" s="170"/>
      <c r="S18" s="172">
        <v>400</v>
      </c>
      <c r="T18" s="173"/>
      <c r="U18" s="174">
        <v>120.3</v>
      </c>
      <c r="V18" s="175">
        <f t="shared" si="2"/>
        <v>6586.2</v>
      </c>
      <c r="W18" s="176">
        <f t="shared" si="3"/>
        <v>775.8697500000001</v>
      </c>
      <c r="X18" s="109">
        <f t="shared" si="4"/>
        <v>297.06975</v>
      </c>
      <c r="Y18" s="177">
        <v>54.6</v>
      </c>
      <c r="Z18" s="178">
        <v>50</v>
      </c>
      <c r="AA18" s="178">
        <v>374.2</v>
      </c>
      <c r="AB18" s="178"/>
      <c r="AC18" s="179">
        <f t="shared" si="5"/>
        <v>7362.06975</v>
      </c>
      <c r="AD18" s="180" t="s">
        <v>46</v>
      </c>
      <c r="AE18" s="114">
        <v>6562.1</v>
      </c>
      <c r="AF18" s="115">
        <f t="shared" si="6"/>
        <v>-799.9697499999993</v>
      </c>
    </row>
    <row r="19" spans="1:32" ht="15.75" customHeight="1" thickBot="1">
      <c r="A19" s="181"/>
      <c r="B19" s="182" t="s">
        <v>69</v>
      </c>
      <c r="C19" s="183"/>
      <c r="D19" s="184"/>
      <c r="E19" s="185"/>
      <c r="F19" s="186">
        <f>SUM(F7:F18)</f>
        <v>1978</v>
      </c>
      <c r="G19" s="186">
        <f>SUM(G7:G18)</f>
        <v>2704</v>
      </c>
      <c r="H19" s="186">
        <f>SUM(H7:H18)</f>
        <v>987</v>
      </c>
      <c r="I19" s="187">
        <f t="shared" si="0"/>
        <v>5669</v>
      </c>
      <c r="J19" s="188">
        <f>SUM(J7:J18)</f>
        <v>5391</v>
      </c>
      <c r="K19" s="189">
        <f>SUM(K7:K18)</f>
        <v>49725.6</v>
      </c>
      <c r="L19" s="190">
        <f>SUM(L7:L18)</f>
        <v>0</v>
      </c>
      <c r="M19" s="191">
        <f>SUM(N19:T19)</f>
        <v>5073.1</v>
      </c>
      <c r="N19" s="192">
        <f aca="true" t="shared" si="7" ref="N19:U19">SUM(N7:N18)</f>
        <v>514.1000000000001</v>
      </c>
      <c r="O19" s="192">
        <f t="shared" si="7"/>
        <v>617.3</v>
      </c>
      <c r="P19" s="193">
        <f t="shared" si="7"/>
        <v>0</v>
      </c>
      <c r="Q19" s="194">
        <f t="shared" si="7"/>
        <v>3421.7</v>
      </c>
      <c r="R19" s="194">
        <f t="shared" si="7"/>
        <v>0</v>
      </c>
      <c r="S19" s="194">
        <f t="shared" si="7"/>
        <v>520</v>
      </c>
      <c r="T19" s="195">
        <f t="shared" si="7"/>
        <v>0</v>
      </c>
      <c r="U19" s="196">
        <f t="shared" si="7"/>
        <v>910.9999999999998</v>
      </c>
      <c r="V19" s="197">
        <f t="shared" si="2"/>
        <v>55709.7</v>
      </c>
      <c r="W19" s="198">
        <f t="shared" si="3"/>
        <v>6696.515862</v>
      </c>
      <c r="X19" s="199">
        <f>SUM(X7:X18)</f>
        <v>2350.4158620000003</v>
      </c>
      <c r="Y19" s="199">
        <f>SUM(Y7:Y18)</f>
        <v>262.90000000000003</v>
      </c>
      <c r="Z19" s="200">
        <f>SUM(Z7:Z18)</f>
        <v>350</v>
      </c>
      <c r="AA19" s="199">
        <f>SUM(AA7:AA18)</f>
        <v>3733.2</v>
      </c>
      <c r="AB19" s="200">
        <f>SUM(AB7:AB18)</f>
        <v>0</v>
      </c>
      <c r="AC19" s="201">
        <f t="shared" si="5"/>
        <v>62406.215862</v>
      </c>
      <c r="AD19" s="202" t="s">
        <v>46</v>
      </c>
      <c r="AE19" s="114"/>
      <c r="AF19" s="115"/>
    </row>
    <row r="20" spans="1:32" ht="15.75" customHeight="1" thickBot="1">
      <c r="A20" s="91">
        <v>1</v>
      </c>
      <c r="B20" s="203" t="s">
        <v>70</v>
      </c>
      <c r="C20" s="204" t="s">
        <v>44</v>
      </c>
      <c r="D20" s="205">
        <v>337</v>
      </c>
      <c r="E20" s="206" t="s">
        <v>45</v>
      </c>
      <c r="F20" s="207">
        <v>116</v>
      </c>
      <c r="G20" s="207">
        <v>139</v>
      </c>
      <c r="H20" s="207"/>
      <c r="I20" s="208">
        <f t="shared" si="0"/>
        <v>255</v>
      </c>
      <c r="J20" s="123">
        <v>226</v>
      </c>
      <c r="K20" s="124">
        <v>2290.7</v>
      </c>
      <c r="L20" s="157"/>
      <c r="M20" s="125">
        <f t="shared" si="1"/>
        <v>1500</v>
      </c>
      <c r="N20" s="126"/>
      <c r="O20" s="126"/>
      <c r="P20" s="127"/>
      <c r="Q20" s="209">
        <v>1500</v>
      </c>
      <c r="R20" s="126"/>
      <c r="S20" s="128"/>
      <c r="T20" s="129"/>
      <c r="U20" s="210">
        <v>62.3</v>
      </c>
      <c r="V20" s="107">
        <f t="shared" si="2"/>
        <v>3853</v>
      </c>
      <c r="W20" s="108">
        <f t="shared" si="3"/>
        <v>523.930446</v>
      </c>
      <c r="X20" s="109">
        <f aca="true" t="shared" si="8" ref="X20:X57">F20*171*6.9485/1000</f>
        <v>137.830446</v>
      </c>
      <c r="Y20" s="110">
        <v>18.9</v>
      </c>
      <c r="Z20" s="111"/>
      <c r="AA20" s="111">
        <v>367.2</v>
      </c>
      <c r="AB20" s="111"/>
      <c r="AC20" s="112">
        <f t="shared" si="5"/>
        <v>4376.930446</v>
      </c>
      <c r="AD20" s="211" t="s">
        <v>46</v>
      </c>
      <c r="AE20" s="114">
        <v>3858</v>
      </c>
      <c r="AF20" s="115">
        <f t="shared" si="6"/>
        <v>-518.9304460000003</v>
      </c>
    </row>
    <row r="21" spans="1:32" ht="15.75" customHeight="1" thickBot="1">
      <c r="A21" s="116">
        <v>2</v>
      </c>
      <c r="B21" s="212" t="s">
        <v>71</v>
      </c>
      <c r="C21" s="213" t="s">
        <v>72</v>
      </c>
      <c r="D21" s="119">
        <v>337</v>
      </c>
      <c r="E21" s="120" t="s">
        <v>45</v>
      </c>
      <c r="F21" s="214">
        <v>75</v>
      </c>
      <c r="G21" s="214">
        <v>114</v>
      </c>
      <c r="H21" s="214"/>
      <c r="I21" s="215">
        <f t="shared" si="0"/>
        <v>189</v>
      </c>
      <c r="J21" s="123">
        <v>170</v>
      </c>
      <c r="K21" s="124">
        <v>1824</v>
      </c>
      <c r="L21" s="100"/>
      <c r="M21" s="125">
        <f t="shared" si="1"/>
        <v>360</v>
      </c>
      <c r="N21" s="126"/>
      <c r="O21" s="126"/>
      <c r="P21" s="127"/>
      <c r="Q21" s="126">
        <v>360</v>
      </c>
      <c r="R21" s="126"/>
      <c r="S21" s="128"/>
      <c r="T21" s="129"/>
      <c r="U21" s="106"/>
      <c r="V21" s="107">
        <f t="shared" si="2"/>
        <v>2184</v>
      </c>
      <c r="W21" s="108">
        <f t="shared" si="3"/>
        <v>236.2145125</v>
      </c>
      <c r="X21" s="109">
        <f t="shared" si="8"/>
        <v>89.1145125</v>
      </c>
      <c r="Y21" s="130">
        <v>12.6</v>
      </c>
      <c r="Z21" s="131"/>
      <c r="AA21" s="131">
        <v>134.5</v>
      </c>
      <c r="AB21" s="131"/>
      <c r="AC21" s="112">
        <f t="shared" si="5"/>
        <v>2420.2145125</v>
      </c>
      <c r="AD21" s="132" t="s">
        <v>46</v>
      </c>
      <c r="AE21" s="114">
        <v>2420.2</v>
      </c>
      <c r="AF21" s="115">
        <f t="shared" si="6"/>
        <v>-0.014512500000364525</v>
      </c>
    </row>
    <row r="22" spans="1:32" ht="15.75" customHeight="1" thickBot="1">
      <c r="A22" s="116">
        <v>3</v>
      </c>
      <c r="B22" s="212" t="s">
        <v>73</v>
      </c>
      <c r="C22" s="213" t="s">
        <v>74</v>
      </c>
      <c r="D22" s="119">
        <v>337</v>
      </c>
      <c r="E22" s="120" t="s">
        <v>45</v>
      </c>
      <c r="F22" s="214">
        <v>105</v>
      </c>
      <c r="G22" s="214">
        <v>92</v>
      </c>
      <c r="H22" s="214"/>
      <c r="I22" s="215">
        <f t="shared" si="0"/>
        <v>197</v>
      </c>
      <c r="J22" s="123">
        <v>171</v>
      </c>
      <c r="K22" s="124">
        <v>1832.4</v>
      </c>
      <c r="L22" s="100"/>
      <c r="M22" s="125">
        <f t="shared" si="1"/>
        <v>118.6</v>
      </c>
      <c r="N22" s="126">
        <v>118.6</v>
      </c>
      <c r="O22" s="126"/>
      <c r="P22" s="127"/>
      <c r="Q22" s="126"/>
      <c r="R22" s="126"/>
      <c r="S22" s="128"/>
      <c r="T22" s="129"/>
      <c r="U22" s="216">
        <f>25.9+40</f>
        <v>65.9</v>
      </c>
      <c r="V22" s="107">
        <f t="shared" si="2"/>
        <v>2016.9</v>
      </c>
      <c r="W22" s="108">
        <f t="shared" si="3"/>
        <v>280.2603175</v>
      </c>
      <c r="X22" s="109">
        <f t="shared" si="8"/>
        <v>124.7603175</v>
      </c>
      <c r="Y22" s="217">
        <v>5.5</v>
      </c>
      <c r="Z22" s="218"/>
      <c r="AA22" s="218">
        <v>150</v>
      </c>
      <c r="AB22" s="218"/>
      <c r="AC22" s="112">
        <f t="shared" si="5"/>
        <v>2297.1603175</v>
      </c>
      <c r="AD22" s="132" t="s">
        <v>46</v>
      </c>
      <c r="AE22" s="114">
        <v>2075.8</v>
      </c>
      <c r="AF22" s="115">
        <f t="shared" si="6"/>
        <v>-221.36031749999984</v>
      </c>
    </row>
    <row r="23" spans="1:32" ht="15.75" customHeight="1" thickBot="1">
      <c r="A23" s="116">
        <v>4</v>
      </c>
      <c r="B23" s="212" t="s">
        <v>75</v>
      </c>
      <c r="C23" s="213" t="s">
        <v>76</v>
      </c>
      <c r="D23" s="119">
        <v>337</v>
      </c>
      <c r="E23" s="120" t="s">
        <v>45</v>
      </c>
      <c r="F23" s="214">
        <v>102</v>
      </c>
      <c r="G23" s="214">
        <v>137</v>
      </c>
      <c r="H23" s="214"/>
      <c r="I23" s="215">
        <f t="shared" si="0"/>
        <v>239</v>
      </c>
      <c r="J23" s="123">
        <v>214</v>
      </c>
      <c r="K23" s="124">
        <v>2190.7</v>
      </c>
      <c r="L23" s="100"/>
      <c r="M23" s="125">
        <f t="shared" si="1"/>
        <v>0</v>
      </c>
      <c r="N23" s="126"/>
      <c r="O23" s="126"/>
      <c r="P23" s="127"/>
      <c r="Q23" s="126"/>
      <c r="R23" s="126"/>
      <c r="S23" s="128"/>
      <c r="T23" s="129"/>
      <c r="U23" s="106">
        <f>56.3+9+0.8</f>
        <v>66.1</v>
      </c>
      <c r="V23" s="107">
        <f t="shared" si="2"/>
        <v>2256.7999999999997</v>
      </c>
      <c r="W23" s="108">
        <f t="shared" si="3"/>
        <v>332.595737</v>
      </c>
      <c r="X23" s="109">
        <f t="shared" si="8"/>
        <v>121.19573700000001</v>
      </c>
      <c r="Y23" s="217">
        <v>16</v>
      </c>
      <c r="Z23" s="218"/>
      <c r="AA23" s="218">
        <v>195.4</v>
      </c>
      <c r="AB23" s="218"/>
      <c r="AC23" s="112">
        <f t="shared" si="5"/>
        <v>2589.395737</v>
      </c>
      <c r="AD23" s="132" t="s">
        <v>46</v>
      </c>
      <c r="AE23" s="114">
        <v>2384.2</v>
      </c>
      <c r="AF23" s="115">
        <f t="shared" si="6"/>
        <v>-205.195737</v>
      </c>
    </row>
    <row r="24" spans="1:32" ht="15.75" customHeight="1" thickBot="1">
      <c r="A24" s="116">
        <v>5</v>
      </c>
      <c r="B24" s="212" t="s">
        <v>77</v>
      </c>
      <c r="C24" s="213" t="s">
        <v>78</v>
      </c>
      <c r="D24" s="119">
        <v>337</v>
      </c>
      <c r="E24" s="120" t="s">
        <v>45</v>
      </c>
      <c r="F24" s="219">
        <v>117</v>
      </c>
      <c r="G24" s="215">
        <v>141</v>
      </c>
      <c r="H24" s="214"/>
      <c r="I24" s="215">
        <f t="shared" si="0"/>
        <v>258</v>
      </c>
      <c r="J24" s="123">
        <v>229</v>
      </c>
      <c r="K24" s="124">
        <v>2315.7</v>
      </c>
      <c r="L24" s="100"/>
      <c r="M24" s="125">
        <f t="shared" si="1"/>
        <v>200</v>
      </c>
      <c r="N24" s="126"/>
      <c r="O24" s="126"/>
      <c r="P24" s="127"/>
      <c r="Q24" s="126">
        <v>200</v>
      </c>
      <c r="R24" s="126"/>
      <c r="S24" s="128"/>
      <c r="T24" s="129"/>
      <c r="U24" s="216">
        <f>39.8+40</f>
        <v>79.8</v>
      </c>
      <c r="V24" s="107">
        <f t="shared" si="2"/>
        <v>2595.5</v>
      </c>
      <c r="W24" s="108">
        <f t="shared" si="3"/>
        <v>197.91863949999998</v>
      </c>
      <c r="X24" s="109">
        <f t="shared" si="8"/>
        <v>139.01863949999998</v>
      </c>
      <c r="Y24" s="217">
        <v>5.5</v>
      </c>
      <c r="Z24" s="218"/>
      <c r="AA24" s="218">
        <v>53.4</v>
      </c>
      <c r="AB24" s="218"/>
      <c r="AC24" s="112">
        <f t="shared" si="5"/>
        <v>2793.4186395</v>
      </c>
      <c r="AD24" s="132" t="s">
        <v>46</v>
      </c>
      <c r="AE24" s="114">
        <v>2793.4</v>
      </c>
      <c r="AF24" s="115">
        <f t="shared" si="6"/>
        <v>-0.01863950000006298</v>
      </c>
    </row>
    <row r="25" spans="1:32" ht="15.75" customHeight="1" thickBot="1">
      <c r="A25" s="116">
        <v>6</v>
      </c>
      <c r="B25" s="212" t="s">
        <v>79</v>
      </c>
      <c r="C25" s="213" t="s">
        <v>80</v>
      </c>
      <c r="D25" s="119">
        <v>337</v>
      </c>
      <c r="E25" s="120" t="s">
        <v>45</v>
      </c>
      <c r="F25" s="219">
        <v>121</v>
      </c>
      <c r="G25" s="215">
        <v>211</v>
      </c>
      <c r="H25" s="214"/>
      <c r="I25" s="215">
        <f t="shared" si="0"/>
        <v>332</v>
      </c>
      <c r="J25" s="123">
        <v>302</v>
      </c>
      <c r="K25" s="124">
        <v>2923.9</v>
      </c>
      <c r="L25" s="100"/>
      <c r="M25" s="125">
        <f t="shared" si="1"/>
        <v>525</v>
      </c>
      <c r="N25" s="126"/>
      <c r="O25" s="126"/>
      <c r="P25" s="127"/>
      <c r="Q25" s="126">
        <f>140+100</f>
        <v>240</v>
      </c>
      <c r="R25" s="126"/>
      <c r="S25" s="128">
        <v>285</v>
      </c>
      <c r="T25" s="129"/>
      <c r="U25" s="106">
        <f>18+40.8</f>
        <v>58.8</v>
      </c>
      <c r="V25" s="107">
        <f t="shared" si="2"/>
        <v>3507.7000000000003</v>
      </c>
      <c r="W25" s="108">
        <f t="shared" si="3"/>
        <v>360.07141349999995</v>
      </c>
      <c r="X25" s="109">
        <f t="shared" si="8"/>
        <v>143.7714135</v>
      </c>
      <c r="Y25" s="217">
        <v>28.6</v>
      </c>
      <c r="Z25" s="218">
        <v>50</v>
      </c>
      <c r="AA25" s="218">
        <v>137.7</v>
      </c>
      <c r="AB25" s="218"/>
      <c r="AC25" s="112">
        <f t="shared" si="5"/>
        <v>3867.7714135</v>
      </c>
      <c r="AD25" s="132" t="s">
        <v>46</v>
      </c>
      <c r="AE25" s="114">
        <v>3593.3</v>
      </c>
      <c r="AF25" s="115">
        <f t="shared" si="6"/>
        <v>-274.4714134999999</v>
      </c>
    </row>
    <row r="26" spans="1:32" ht="15.75" customHeight="1" thickBot="1">
      <c r="A26" s="116">
        <v>7</v>
      </c>
      <c r="B26" s="212" t="s">
        <v>81</v>
      </c>
      <c r="C26" s="213" t="s">
        <v>82</v>
      </c>
      <c r="D26" s="119">
        <v>337</v>
      </c>
      <c r="E26" s="120" t="s">
        <v>45</v>
      </c>
      <c r="F26" s="219">
        <v>69</v>
      </c>
      <c r="G26" s="215">
        <v>95</v>
      </c>
      <c r="H26" s="214"/>
      <c r="I26" s="215">
        <f t="shared" si="0"/>
        <v>164</v>
      </c>
      <c r="J26" s="123">
        <v>147</v>
      </c>
      <c r="K26" s="124">
        <v>1632.4</v>
      </c>
      <c r="L26" s="100"/>
      <c r="M26" s="125">
        <f t="shared" si="1"/>
        <v>0</v>
      </c>
      <c r="N26" s="126"/>
      <c r="O26" s="126"/>
      <c r="P26" s="127"/>
      <c r="Q26" s="126"/>
      <c r="R26" s="126"/>
      <c r="S26" s="128"/>
      <c r="T26" s="129"/>
      <c r="U26" s="106">
        <v>62.4</v>
      </c>
      <c r="V26" s="107">
        <f t="shared" si="2"/>
        <v>1694.8000000000002</v>
      </c>
      <c r="W26" s="108">
        <f t="shared" si="3"/>
        <v>164.0853515</v>
      </c>
      <c r="X26" s="109">
        <f t="shared" si="8"/>
        <v>81.98535150000001</v>
      </c>
      <c r="Y26" s="217">
        <v>10</v>
      </c>
      <c r="Z26" s="218"/>
      <c r="AA26" s="218">
        <v>72.1</v>
      </c>
      <c r="AB26" s="218"/>
      <c r="AC26" s="112">
        <f t="shared" si="5"/>
        <v>1858.8853515</v>
      </c>
      <c r="AD26" s="132" t="s">
        <v>46</v>
      </c>
      <c r="AE26" s="114">
        <v>1806.8</v>
      </c>
      <c r="AF26" s="115">
        <f t="shared" si="6"/>
        <v>-52.085351500000115</v>
      </c>
    </row>
    <row r="27" spans="1:32" ht="15.75" customHeight="1" thickBot="1">
      <c r="A27" s="116">
        <v>8</v>
      </c>
      <c r="B27" s="212" t="s">
        <v>83</v>
      </c>
      <c r="C27" s="213" t="s">
        <v>84</v>
      </c>
      <c r="D27" s="119">
        <v>337</v>
      </c>
      <c r="E27" s="120" t="s">
        <v>45</v>
      </c>
      <c r="F27" s="219">
        <v>77</v>
      </c>
      <c r="G27" s="215">
        <v>105</v>
      </c>
      <c r="H27" s="220"/>
      <c r="I27" s="215">
        <f t="shared" si="0"/>
        <v>182</v>
      </c>
      <c r="J27" s="123">
        <v>163</v>
      </c>
      <c r="K27" s="124">
        <v>1765.7</v>
      </c>
      <c r="L27" s="100"/>
      <c r="M27" s="125">
        <f t="shared" si="1"/>
        <v>0</v>
      </c>
      <c r="N27" s="126"/>
      <c r="O27" s="126"/>
      <c r="P27" s="127"/>
      <c r="Q27" s="126"/>
      <c r="R27" s="126"/>
      <c r="S27" s="128"/>
      <c r="T27" s="129"/>
      <c r="U27" s="106">
        <f>4.5+0.8</f>
        <v>5.3</v>
      </c>
      <c r="V27" s="107">
        <f t="shared" si="2"/>
        <v>1771</v>
      </c>
      <c r="W27" s="108">
        <f t="shared" si="3"/>
        <v>208.3908995</v>
      </c>
      <c r="X27" s="109">
        <f t="shared" si="8"/>
        <v>91.4908995</v>
      </c>
      <c r="Y27" s="217">
        <v>6.3</v>
      </c>
      <c r="Z27" s="218"/>
      <c r="AA27" s="218">
        <v>110.6</v>
      </c>
      <c r="AB27" s="218"/>
      <c r="AC27" s="112">
        <f t="shared" si="5"/>
        <v>1979.3908995</v>
      </c>
      <c r="AD27" s="132" t="s">
        <v>46</v>
      </c>
      <c r="AE27" s="114">
        <v>1974.1</v>
      </c>
      <c r="AF27" s="115">
        <f t="shared" si="6"/>
        <v>-5.290899500000023</v>
      </c>
    </row>
    <row r="28" spans="1:32" ht="15.75" customHeight="1" thickBot="1">
      <c r="A28" s="116">
        <v>9</v>
      </c>
      <c r="B28" s="212" t="s">
        <v>85</v>
      </c>
      <c r="C28" s="213" t="s">
        <v>55</v>
      </c>
      <c r="D28" s="119">
        <v>337</v>
      </c>
      <c r="E28" s="120" t="s">
        <v>45</v>
      </c>
      <c r="F28" s="219">
        <v>63</v>
      </c>
      <c r="G28" s="215">
        <v>106</v>
      </c>
      <c r="H28" s="221"/>
      <c r="I28" s="215">
        <f t="shared" si="0"/>
        <v>169</v>
      </c>
      <c r="J28" s="123">
        <v>153</v>
      </c>
      <c r="K28" s="124">
        <v>1682.4</v>
      </c>
      <c r="L28" s="100"/>
      <c r="M28" s="125">
        <f t="shared" si="1"/>
        <v>0</v>
      </c>
      <c r="N28" s="126"/>
      <c r="O28" s="126"/>
      <c r="P28" s="127"/>
      <c r="Q28" s="126"/>
      <c r="R28" s="126"/>
      <c r="S28" s="128"/>
      <c r="T28" s="129"/>
      <c r="U28" s="106"/>
      <c r="V28" s="107">
        <f t="shared" si="2"/>
        <v>1682.4</v>
      </c>
      <c r="W28" s="108">
        <f t="shared" si="3"/>
        <v>247.8561905</v>
      </c>
      <c r="X28" s="109">
        <f t="shared" si="8"/>
        <v>74.8561905</v>
      </c>
      <c r="Y28" s="217">
        <v>2.5</v>
      </c>
      <c r="Z28" s="218"/>
      <c r="AA28" s="218">
        <v>170.5</v>
      </c>
      <c r="AB28" s="218"/>
      <c r="AC28" s="112">
        <f t="shared" si="5"/>
        <v>1930.2561905</v>
      </c>
      <c r="AD28" s="132" t="s">
        <v>46</v>
      </c>
      <c r="AE28" s="114">
        <v>1757.3</v>
      </c>
      <c r="AF28" s="115">
        <f t="shared" si="6"/>
        <v>-172.95619050000005</v>
      </c>
    </row>
    <row r="29" spans="1:32" ht="15.75" customHeight="1" thickBot="1">
      <c r="A29" s="116">
        <v>10</v>
      </c>
      <c r="B29" s="212" t="s">
        <v>86</v>
      </c>
      <c r="C29" s="213" t="s">
        <v>87</v>
      </c>
      <c r="D29" s="119">
        <v>337</v>
      </c>
      <c r="E29" s="120" t="s">
        <v>45</v>
      </c>
      <c r="F29" s="219">
        <v>80</v>
      </c>
      <c r="G29" s="215">
        <v>93</v>
      </c>
      <c r="H29" s="220"/>
      <c r="I29" s="215">
        <f t="shared" si="0"/>
        <v>173</v>
      </c>
      <c r="J29" s="123">
        <v>153</v>
      </c>
      <c r="K29" s="124">
        <v>1682.4</v>
      </c>
      <c r="L29" s="100"/>
      <c r="M29" s="125">
        <f t="shared" si="1"/>
        <v>0</v>
      </c>
      <c r="N29" s="126"/>
      <c r="O29" s="126"/>
      <c r="P29" s="127"/>
      <c r="Q29" s="126"/>
      <c r="R29" s="126"/>
      <c r="S29" s="128"/>
      <c r="T29" s="129"/>
      <c r="U29" s="156">
        <f>28.4+25.9</f>
        <v>54.3</v>
      </c>
      <c r="V29" s="107">
        <f t="shared" si="2"/>
        <v>1736.7</v>
      </c>
      <c r="W29" s="108">
        <f t="shared" si="3"/>
        <v>201.35548</v>
      </c>
      <c r="X29" s="109">
        <f t="shared" si="8"/>
        <v>95.05548</v>
      </c>
      <c r="Y29" s="217">
        <v>29</v>
      </c>
      <c r="Z29" s="218"/>
      <c r="AA29" s="218">
        <v>77.3</v>
      </c>
      <c r="AB29" s="218"/>
      <c r="AC29" s="112">
        <f t="shared" si="5"/>
        <v>1938.05548</v>
      </c>
      <c r="AD29" s="132" t="s">
        <v>46</v>
      </c>
      <c r="AE29" s="114">
        <v>1805.9</v>
      </c>
      <c r="AF29" s="115">
        <f t="shared" si="6"/>
        <v>-132.1554799999999</v>
      </c>
    </row>
    <row r="30" spans="1:32" ht="15.75" customHeight="1" thickBot="1">
      <c r="A30" s="116">
        <v>11</v>
      </c>
      <c r="B30" s="212" t="s">
        <v>88</v>
      </c>
      <c r="C30" s="213" t="s">
        <v>89</v>
      </c>
      <c r="D30" s="119">
        <v>337</v>
      </c>
      <c r="E30" s="120" t="s">
        <v>45</v>
      </c>
      <c r="F30" s="219">
        <v>80</v>
      </c>
      <c r="G30" s="215">
        <v>110</v>
      </c>
      <c r="H30" s="220"/>
      <c r="I30" s="215">
        <f t="shared" si="0"/>
        <v>190</v>
      </c>
      <c r="J30" s="123">
        <v>170</v>
      </c>
      <c r="K30" s="124">
        <v>1824</v>
      </c>
      <c r="L30" s="100"/>
      <c r="M30" s="125">
        <f t="shared" si="1"/>
        <v>219.5</v>
      </c>
      <c r="N30" s="126">
        <v>69.5</v>
      </c>
      <c r="O30" s="126"/>
      <c r="P30" s="127"/>
      <c r="Q30" s="126">
        <v>150</v>
      </c>
      <c r="R30" s="126"/>
      <c r="S30" s="128"/>
      <c r="T30" s="129"/>
      <c r="U30" s="106">
        <f>9+0.8</f>
        <v>9.8</v>
      </c>
      <c r="V30" s="107">
        <f t="shared" si="2"/>
        <v>2053.3</v>
      </c>
      <c r="W30" s="108">
        <f t="shared" si="3"/>
        <v>412.25548</v>
      </c>
      <c r="X30" s="109">
        <f t="shared" si="8"/>
        <v>95.05548</v>
      </c>
      <c r="Y30" s="217">
        <v>22</v>
      </c>
      <c r="Z30" s="218"/>
      <c r="AA30" s="218">
        <v>295.2</v>
      </c>
      <c r="AB30" s="218"/>
      <c r="AC30" s="112">
        <f t="shared" si="5"/>
        <v>2465.55548</v>
      </c>
      <c r="AD30" s="132" t="s">
        <v>46</v>
      </c>
      <c r="AE30" s="114">
        <v>2010.6</v>
      </c>
      <c r="AF30" s="115">
        <f t="shared" si="6"/>
        <v>-454.9554800000001</v>
      </c>
    </row>
    <row r="31" spans="1:32" ht="15.75" customHeight="1" thickBot="1">
      <c r="A31" s="116">
        <v>12</v>
      </c>
      <c r="B31" s="212" t="s">
        <v>90</v>
      </c>
      <c r="C31" s="213" t="s">
        <v>91</v>
      </c>
      <c r="D31" s="119">
        <v>337</v>
      </c>
      <c r="E31" s="120" t="s">
        <v>45</v>
      </c>
      <c r="F31" s="219">
        <v>87</v>
      </c>
      <c r="G31" s="215">
        <v>110</v>
      </c>
      <c r="H31" s="220"/>
      <c r="I31" s="215">
        <f t="shared" si="0"/>
        <v>197</v>
      </c>
      <c r="J31" s="123">
        <v>175</v>
      </c>
      <c r="K31" s="124">
        <v>1865.7</v>
      </c>
      <c r="L31" s="100"/>
      <c r="M31" s="125">
        <f t="shared" si="1"/>
        <v>300</v>
      </c>
      <c r="N31" s="126"/>
      <c r="O31" s="126"/>
      <c r="P31" s="127"/>
      <c r="Q31" s="126">
        <v>300</v>
      </c>
      <c r="R31" s="126"/>
      <c r="S31" s="128"/>
      <c r="T31" s="129"/>
      <c r="U31" s="106">
        <f>54.1+9+0.8</f>
        <v>63.9</v>
      </c>
      <c r="V31" s="107">
        <f t="shared" si="2"/>
        <v>2229.6</v>
      </c>
      <c r="W31" s="108">
        <f t="shared" si="3"/>
        <v>252.1728345</v>
      </c>
      <c r="X31" s="109">
        <f t="shared" si="8"/>
        <v>103.3728345</v>
      </c>
      <c r="Y31" s="217">
        <v>18.9</v>
      </c>
      <c r="Z31" s="218"/>
      <c r="AA31" s="218">
        <v>129.9</v>
      </c>
      <c r="AB31" s="218"/>
      <c r="AC31" s="112">
        <f t="shared" si="5"/>
        <v>2481.7728345</v>
      </c>
      <c r="AD31" s="132" t="s">
        <v>46</v>
      </c>
      <c r="AE31" s="114">
        <v>2172</v>
      </c>
      <c r="AF31" s="115">
        <f t="shared" si="6"/>
        <v>-309.77283450000004</v>
      </c>
    </row>
    <row r="32" spans="1:32" ht="15.75" customHeight="1" thickBot="1">
      <c r="A32" s="116">
        <v>13</v>
      </c>
      <c r="B32" s="212" t="s">
        <v>92</v>
      </c>
      <c r="C32" s="213" t="s">
        <v>93</v>
      </c>
      <c r="D32" s="119">
        <v>337</v>
      </c>
      <c r="E32" s="120" t="s">
        <v>45</v>
      </c>
      <c r="F32" s="219">
        <v>80</v>
      </c>
      <c r="G32" s="215">
        <v>99</v>
      </c>
      <c r="H32" s="220"/>
      <c r="I32" s="215">
        <f t="shared" si="0"/>
        <v>179</v>
      </c>
      <c r="J32" s="123">
        <v>159</v>
      </c>
      <c r="K32" s="124">
        <v>1732.4</v>
      </c>
      <c r="L32" s="100"/>
      <c r="M32" s="125">
        <f t="shared" si="1"/>
        <v>97.8</v>
      </c>
      <c r="N32" s="126">
        <v>97.8</v>
      </c>
      <c r="O32" s="126"/>
      <c r="P32" s="127"/>
      <c r="Q32" s="126"/>
      <c r="R32" s="126"/>
      <c r="S32" s="128"/>
      <c r="T32" s="129"/>
      <c r="U32" s="106">
        <v>62.2</v>
      </c>
      <c r="V32" s="107">
        <f t="shared" si="2"/>
        <v>1892.4</v>
      </c>
      <c r="W32" s="108">
        <f t="shared" si="3"/>
        <v>153.35548</v>
      </c>
      <c r="X32" s="109">
        <f t="shared" si="8"/>
        <v>95.05548</v>
      </c>
      <c r="Y32" s="217">
        <v>9.7</v>
      </c>
      <c r="Z32" s="218"/>
      <c r="AA32" s="218">
        <v>48.6</v>
      </c>
      <c r="AB32" s="218"/>
      <c r="AC32" s="112">
        <f t="shared" si="5"/>
        <v>2045.75548</v>
      </c>
      <c r="AD32" s="132" t="s">
        <v>46</v>
      </c>
      <c r="AE32" s="114">
        <f>1948+97.8</f>
        <v>2045.8</v>
      </c>
      <c r="AF32" s="115">
        <f t="shared" si="6"/>
        <v>0.0445199999999204</v>
      </c>
    </row>
    <row r="33" spans="1:32" ht="15.75" customHeight="1" thickBot="1">
      <c r="A33" s="116">
        <v>14</v>
      </c>
      <c r="B33" s="212" t="s">
        <v>94</v>
      </c>
      <c r="C33" s="213" t="s">
        <v>95</v>
      </c>
      <c r="D33" s="119">
        <v>337</v>
      </c>
      <c r="E33" s="120" t="s">
        <v>45</v>
      </c>
      <c r="F33" s="219">
        <v>125</v>
      </c>
      <c r="G33" s="215">
        <v>140</v>
      </c>
      <c r="H33" s="220"/>
      <c r="I33" s="215">
        <f t="shared" si="0"/>
        <v>265</v>
      </c>
      <c r="J33" s="123">
        <v>234</v>
      </c>
      <c r="K33" s="124">
        <v>2357.3</v>
      </c>
      <c r="L33" s="100"/>
      <c r="M33" s="125">
        <f t="shared" si="1"/>
        <v>0</v>
      </c>
      <c r="N33" s="126"/>
      <c r="O33" s="126"/>
      <c r="P33" s="127"/>
      <c r="Q33" s="126"/>
      <c r="R33" s="126"/>
      <c r="S33" s="128"/>
      <c r="T33" s="129"/>
      <c r="U33" s="106">
        <v>60.1</v>
      </c>
      <c r="V33" s="107">
        <f t="shared" si="2"/>
        <v>2417.4</v>
      </c>
      <c r="W33" s="108">
        <f t="shared" si="3"/>
        <v>209.72418750000003</v>
      </c>
      <c r="X33" s="109">
        <f t="shared" si="8"/>
        <v>148.5241875</v>
      </c>
      <c r="Y33" s="217">
        <v>10.5</v>
      </c>
      <c r="Z33" s="218"/>
      <c r="AA33" s="218">
        <v>50.7</v>
      </c>
      <c r="AB33" s="218"/>
      <c r="AC33" s="112">
        <f t="shared" si="5"/>
        <v>2627.1241875</v>
      </c>
      <c r="AD33" s="132" t="s">
        <v>46</v>
      </c>
      <c r="AE33" s="114">
        <v>2627.1</v>
      </c>
      <c r="AF33" s="115">
        <f t="shared" si="6"/>
        <v>-0.024187500000152795</v>
      </c>
    </row>
    <row r="34" spans="1:32" ht="15.75" customHeight="1" thickBot="1">
      <c r="A34" s="116">
        <v>15</v>
      </c>
      <c r="B34" s="212" t="s">
        <v>96</v>
      </c>
      <c r="C34" s="213" t="s">
        <v>97</v>
      </c>
      <c r="D34" s="119">
        <v>337</v>
      </c>
      <c r="E34" s="155" t="s">
        <v>60</v>
      </c>
      <c r="F34" s="219">
        <f>27+21</f>
        <v>48</v>
      </c>
      <c r="G34" s="215">
        <f>21+56</f>
        <v>77</v>
      </c>
      <c r="H34" s="220"/>
      <c r="I34" s="215">
        <f t="shared" si="0"/>
        <v>125</v>
      </c>
      <c r="J34" s="123">
        <v>113</v>
      </c>
      <c r="K34" s="124">
        <v>1349.1</v>
      </c>
      <c r="L34" s="100"/>
      <c r="M34" s="125">
        <f t="shared" si="1"/>
        <v>0</v>
      </c>
      <c r="N34" s="126"/>
      <c r="O34" s="126"/>
      <c r="P34" s="127"/>
      <c r="Q34" s="126"/>
      <c r="R34" s="126"/>
      <c r="S34" s="128"/>
      <c r="T34" s="129"/>
      <c r="U34" s="106">
        <f>9+40.8</f>
        <v>49.8</v>
      </c>
      <c r="V34" s="107">
        <f t="shared" si="2"/>
        <v>1398.8999999999999</v>
      </c>
      <c r="W34" s="108">
        <f t="shared" si="3"/>
        <v>132.933288</v>
      </c>
      <c r="X34" s="109">
        <f t="shared" si="8"/>
        <v>57.033288</v>
      </c>
      <c r="Y34" s="217">
        <v>6</v>
      </c>
      <c r="Z34" s="218"/>
      <c r="AA34" s="218">
        <v>69.9</v>
      </c>
      <c r="AB34" s="218"/>
      <c r="AC34" s="112">
        <f t="shared" si="5"/>
        <v>1531.8332879999998</v>
      </c>
      <c r="AD34" s="132" t="s">
        <v>46</v>
      </c>
      <c r="AE34" s="114">
        <v>1482</v>
      </c>
      <c r="AF34" s="115">
        <f t="shared" si="6"/>
        <v>-49.83328799999981</v>
      </c>
    </row>
    <row r="35" spans="1:32" ht="15.75" customHeight="1" thickBot="1">
      <c r="A35" s="116">
        <v>16</v>
      </c>
      <c r="B35" s="212" t="s">
        <v>98</v>
      </c>
      <c r="C35" s="213" t="s">
        <v>99</v>
      </c>
      <c r="D35" s="119">
        <v>337</v>
      </c>
      <c r="E35" s="120" t="s">
        <v>45</v>
      </c>
      <c r="F35" s="219">
        <v>116</v>
      </c>
      <c r="G35" s="215">
        <v>169</v>
      </c>
      <c r="H35" s="220"/>
      <c r="I35" s="215">
        <f t="shared" si="0"/>
        <v>285</v>
      </c>
      <c r="J35" s="123">
        <v>256</v>
      </c>
      <c r="K35" s="124">
        <v>2540.6</v>
      </c>
      <c r="L35" s="100"/>
      <c r="M35" s="125">
        <f t="shared" si="1"/>
        <v>0</v>
      </c>
      <c r="N35" s="126"/>
      <c r="O35" s="126"/>
      <c r="P35" s="127"/>
      <c r="Q35" s="126"/>
      <c r="R35" s="126"/>
      <c r="S35" s="128"/>
      <c r="T35" s="129"/>
      <c r="U35" s="106">
        <v>62.7</v>
      </c>
      <c r="V35" s="107">
        <f t="shared" si="2"/>
        <v>2603.2999999999997</v>
      </c>
      <c r="W35" s="108">
        <f t="shared" si="3"/>
        <v>214.830446</v>
      </c>
      <c r="X35" s="109">
        <f t="shared" si="8"/>
        <v>137.830446</v>
      </c>
      <c r="Y35" s="217">
        <v>11</v>
      </c>
      <c r="Z35" s="218"/>
      <c r="AA35" s="218">
        <v>66</v>
      </c>
      <c r="AB35" s="218"/>
      <c r="AC35" s="112">
        <f t="shared" si="5"/>
        <v>2818.1304459999997</v>
      </c>
      <c r="AD35" s="132" t="s">
        <v>46</v>
      </c>
      <c r="AE35" s="114">
        <v>2818.1</v>
      </c>
      <c r="AF35" s="115">
        <f t="shared" si="6"/>
        <v>-0.030445999999756168</v>
      </c>
    </row>
    <row r="36" spans="1:32" ht="15.75" customHeight="1" thickBot="1">
      <c r="A36" s="116">
        <v>17</v>
      </c>
      <c r="B36" s="212" t="s">
        <v>100</v>
      </c>
      <c r="C36" s="213" t="s">
        <v>101</v>
      </c>
      <c r="D36" s="119">
        <v>337</v>
      </c>
      <c r="E36" s="120" t="s">
        <v>45</v>
      </c>
      <c r="F36" s="219">
        <v>68</v>
      </c>
      <c r="G36" s="215">
        <v>98</v>
      </c>
      <c r="H36" s="220"/>
      <c r="I36" s="215">
        <f t="shared" si="0"/>
        <v>166</v>
      </c>
      <c r="J36" s="123">
        <v>149</v>
      </c>
      <c r="K36" s="124">
        <v>1649.1</v>
      </c>
      <c r="L36" s="100"/>
      <c r="M36" s="125">
        <f t="shared" si="1"/>
        <v>93.8</v>
      </c>
      <c r="N36" s="126">
        <v>53.8</v>
      </c>
      <c r="O36" s="126"/>
      <c r="P36" s="127"/>
      <c r="Q36" s="126">
        <v>40</v>
      </c>
      <c r="R36" s="126"/>
      <c r="S36" s="128"/>
      <c r="T36" s="129"/>
      <c r="U36" s="106">
        <f>27.1+9+0.8</f>
        <v>36.9</v>
      </c>
      <c r="V36" s="107">
        <f t="shared" si="2"/>
        <v>1779.8</v>
      </c>
      <c r="W36" s="108">
        <f t="shared" si="3"/>
        <v>230.897158</v>
      </c>
      <c r="X36" s="109">
        <f t="shared" si="8"/>
        <v>80.797158</v>
      </c>
      <c r="Y36" s="217">
        <v>15.6</v>
      </c>
      <c r="Z36" s="218"/>
      <c r="AA36" s="218">
        <v>134.5</v>
      </c>
      <c r="AB36" s="218"/>
      <c r="AC36" s="112">
        <f t="shared" si="5"/>
        <v>2010.697158</v>
      </c>
      <c r="AD36" s="132" t="s">
        <v>46</v>
      </c>
      <c r="AE36" s="114">
        <v>2000.9</v>
      </c>
      <c r="AF36" s="115">
        <f t="shared" si="6"/>
        <v>-9.797157999999854</v>
      </c>
    </row>
    <row r="37" spans="1:32" ht="15.75" customHeight="1" thickBot="1">
      <c r="A37" s="116">
        <v>18</v>
      </c>
      <c r="B37" s="212" t="s">
        <v>102</v>
      </c>
      <c r="C37" s="213" t="s">
        <v>103</v>
      </c>
      <c r="D37" s="119">
        <v>337</v>
      </c>
      <c r="E37" s="120" t="s">
        <v>45</v>
      </c>
      <c r="F37" s="219">
        <v>67</v>
      </c>
      <c r="G37" s="215">
        <v>83</v>
      </c>
      <c r="H37" s="214"/>
      <c r="I37" s="215">
        <f t="shared" si="0"/>
        <v>150</v>
      </c>
      <c r="J37" s="123">
        <v>133</v>
      </c>
      <c r="K37" s="124">
        <v>1515.7</v>
      </c>
      <c r="L37" s="100"/>
      <c r="M37" s="125">
        <f t="shared" si="1"/>
        <v>0</v>
      </c>
      <c r="N37" s="126"/>
      <c r="O37" s="126"/>
      <c r="P37" s="127"/>
      <c r="Q37" s="126"/>
      <c r="R37" s="126"/>
      <c r="S37" s="128"/>
      <c r="T37" s="129"/>
      <c r="U37" s="106">
        <v>60.1</v>
      </c>
      <c r="V37" s="107">
        <f t="shared" si="2"/>
        <v>1575.8</v>
      </c>
      <c r="W37" s="108">
        <f t="shared" si="3"/>
        <v>183.4089645</v>
      </c>
      <c r="X37" s="109">
        <f t="shared" si="8"/>
        <v>79.6089645</v>
      </c>
      <c r="Y37" s="130">
        <v>12.2</v>
      </c>
      <c r="Z37" s="131"/>
      <c r="AA37" s="131">
        <v>91.6</v>
      </c>
      <c r="AB37" s="131"/>
      <c r="AC37" s="112">
        <f t="shared" si="5"/>
        <v>1759.2089644999999</v>
      </c>
      <c r="AD37" s="132" t="s">
        <v>46</v>
      </c>
      <c r="AE37" s="114">
        <v>1759.2</v>
      </c>
      <c r="AF37" s="115">
        <f t="shared" si="6"/>
        <v>-0.008964499999819964</v>
      </c>
    </row>
    <row r="38" spans="1:32" ht="15.75" customHeight="1" thickBot="1">
      <c r="A38" s="116">
        <v>19</v>
      </c>
      <c r="B38" s="212" t="s">
        <v>104</v>
      </c>
      <c r="C38" s="213" t="s">
        <v>105</v>
      </c>
      <c r="D38" s="119">
        <v>337</v>
      </c>
      <c r="E38" s="120" t="s">
        <v>45</v>
      </c>
      <c r="F38" s="219">
        <v>79</v>
      </c>
      <c r="G38" s="215">
        <v>96</v>
      </c>
      <c r="H38" s="220"/>
      <c r="I38" s="215">
        <f t="shared" si="0"/>
        <v>175</v>
      </c>
      <c r="J38" s="123">
        <v>155</v>
      </c>
      <c r="K38" s="124">
        <v>1699.1</v>
      </c>
      <c r="L38" s="100"/>
      <c r="M38" s="125">
        <f t="shared" si="1"/>
        <v>1010.7</v>
      </c>
      <c r="N38" s="126"/>
      <c r="O38" s="126"/>
      <c r="P38" s="127"/>
      <c r="Q38" s="126">
        <f>700+310.7</f>
        <v>1010.7</v>
      </c>
      <c r="R38" s="126"/>
      <c r="S38" s="128"/>
      <c r="T38" s="129"/>
      <c r="U38" s="106">
        <v>62.2</v>
      </c>
      <c r="V38" s="107">
        <f t="shared" si="2"/>
        <v>2772</v>
      </c>
      <c r="W38" s="108">
        <f t="shared" si="3"/>
        <v>154.7672865</v>
      </c>
      <c r="X38" s="109">
        <f t="shared" si="8"/>
        <v>93.8672865</v>
      </c>
      <c r="Y38" s="217">
        <v>11.3</v>
      </c>
      <c r="Z38" s="218"/>
      <c r="AA38" s="218">
        <v>49.6</v>
      </c>
      <c r="AB38" s="218"/>
      <c r="AC38" s="112">
        <f t="shared" si="5"/>
        <v>2926.7672865</v>
      </c>
      <c r="AD38" s="132" t="s">
        <v>46</v>
      </c>
      <c r="AE38" s="114">
        <v>1855.2</v>
      </c>
      <c r="AF38" s="115">
        <f t="shared" si="6"/>
        <v>-1071.5672865</v>
      </c>
    </row>
    <row r="39" spans="1:32" ht="15.75" customHeight="1" thickBot="1">
      <c r="A39" s="116">
        <v>20</v>
      </c>
      <c r="B39" s="212" t="s">
        <v>106</v>
      </c>
      <c r="C39" s="213" t="s">
        <v>107</v>
      </c>
      <c r="D39" s="119">
        <v>337</v>
      </c>
      <c r="E39" s="120" t="s">
        <v>45</v>
      </c>
      <c r="F39" s="219">
        <v>63</v>
      </c>
      <c r="G39" s="215">
        <v>96</v>
      </c>
      <c r="H39" s="221"/>
      <c r="I39" s="215">
        <f t="shared" si="0"/>
        <v>159</v>
      </c>
      <c r="J39" s="123">
        <v>143</v>
      </c>
      <c r="K39" s="124">
        <v>1599.1</v>
      </c>
      <c r="L39" s="100"/>
      <c r="M39" s="125">
        <f t="shared" si="1"/>
        <v>0</v>
      </c>
      <c r="N39" s="126"/>
      <c r="O39" s="126"/>
      <c r="P39" s="127"/>
      <c r="Q39" s="126"/>
      <c r="R39" s="126"/>
      <c r="S39" s="128"/>
      <c r="T39" s="129"/>
      <c r="U39" s="106">
        <f>28.3+9+0.8</f>
        <v>38.099999999999994</v>
      </c>
      <c r="V39" s="107">
        <f t="shared" si="2"/>
        <v>1637.1999999999998</v>
      </c>
      <c r="W39" s="108">
        <f t="shared" si="3"/>
        <v>166.65619049999998</v>
      </c>
      <c r="X39" s="109">
        <f t="shared" si="8"/>
        <v>74.8561905</v>
      </c>
      <c r="Y39" s="153">
        <v>10.5</v>
      </c>
      <c r="Z39" s="154"/>
      <c r="AA39" s="154">
        <v>81.3</v>
      </c>
      <c r="AB39" s="154"/>
      <c r="AC39" s="112">
        <f t="shared" si="5"/>
        <v>1803.8561904999997</v>
      </c>
      <c r="AD39" s="132" t="s">
        <v>46</v>
      </c>
      <c r="AE39" s="114">
        <v>1794.1</v>
      </c>
      <c r="AF39" s="115">
        <f t="shared" si="6"/>
        <v>-9.756190499999775</v>
      </c>
    </row>
    <row r="40" spans="1:32" ht="15.75" customHeight="1" thickBot="1">
      <c r="A40" s="116">
        <v>21</v>
      </c>
      <c r="B40" s="212" t="s">
        <v>108</v>
      </c>
      <c r="C40" s="213" t="s">
        <v>109</v>
      </c>
      <c r="D40" s="119">
        <v>337</v>
      </c>
      <c r="E40" s="120" t="s">
        <v>45</v>
      </c>
      <c r="F40" s="219">
        <v>51</v>
      </c>
      <c r="G40" s="215">
        <v>66</v>
      </c>
      <c r="H40" s="221"/>
      <c r="I40" s="215">
        <f t="shared" si="0"/>
        <v>117</v>
      </c>
      <c r="J40" s="123">
        <v>104</v>
      </c>
      <c r="K40" s="124">
        <v>1274.1</v>
      </c>
      <c r="L40" s="100"/>
      <c r="M40" s="125">
        <f t="shared" si="1"/>
        <v>808</v>
      </c>
      <c r="N40" s="126"/>
      <c r="O40" s="126"/>
      <c r="P40" s="127"/>
      <c r="Q40" s="126">
        <f>200+608</f>
        <v>808</v>
      </c>
      <c r="R40" s="126"/>
      <c r="S40" s="128"/>
      <c r="T40" s="129"/>
      <c r="U40" s="106">
        <f>18+40.8</f>
        <v>58.8</v>
      </c>
      <c r="V40" s="107">
        <f t="shared" si="2"/>
        <v>2140.9</v>
      </c>
      <c r="W40" s="108">
        <f t="shared" si="3"/>
        <v>264.7978685</v>
      </c>
      <c r="X40" s="109">
        <f t="shared" si="8"/>
        <v>60.597868500000004</v>
      </c>
      <c r="Y40" s="153">
        <v>13.5</v>
      </c>
      <c r="Z40" s="154"/>
      <c r="AA40" s="154">
        <v>190.7</v>
      </c>
      <c r="AB40" s="154"/>
      <c r="AC40" s="112">
        <f t="shared" si="5"/>
        <v>2405.6978685</v>
      </c>
      <c r="AD40" s="132" t="s">
        <v>46</v>
      </c>
      <c r="AE40" s="114">
        <v>2346.9</v>
      </c>
      <c r="AF40" s="115">
        <f t="shared" si="6"/>
        <v>-58.79786849999982</v>
      </c>
    </row>
    <row r="41" spans="1:32" ht="15.75" customHeight="1" thickBot="1">
      <c r="A41" s="116">
        <v>22</v>
      </c>
      <c r="B41" s="212" t="s">
        <v>110</v>
      </c>
      <c r="C41" s="213" t="s">
        <v>111</v>
      </c>
      <c r="D41" s="119">
        <v>337</v>
      </c>
      <c r="E41" s="120" t="s">
        <v>45</v>
      </c>
      <c r="F41" s="219">
        <v>58</v>
      </c>
      <c r="G41" s="215">
        <v>75</v>
      </c>
      <c r="H41" s="221"/>
      <c r="I41" s="215">
        <f t="shared" si="0"/>
        <v>133</v>
      </c>
      <c r="J41" s="123">
        <v>119</v>
      </c>
      <c r="K41" s="124">
        <v>1399.1</v>
      </c>
      <c r="L41" s="100"/>
      <c r="M41" s="125">
        <f t="shared" si="1"/>
        <v>200</v>
      </c>
      <c r="N41" s="126"/>
      <c r="O41" s="126"/>
      <c r="P41" s="127"/>
      <c r="Q41" s="126">
        <v>200</v>
      </c>
      <c r="R41" s="126"/>
      <c r="S41" s="128"/>
      <c r="T41" s="129"/>
      <c r="U41" s="106">
        <f>31.1+9+0.8</f>
        <v>40.9</v>
      </c>
      <c r="V41" s="107">
        <f t="shared" si="2"/>
        <v>1640</v>
      </c>
      <c r="W41" s="108">
        <f t="shared" si="3"/>
        <v>132.815223</v>
      </c>
      <c r="X41" s="109">
        <f t="shared" si="8"/>
        <v>68.915223</v>
      </c>
      <c r="Y41" s="153">
        <v>14</v>
      </c>
      <c r="Z41" s="154"/>
      <c r="AA41" s="154">
        <v>49.9</v>
      </c>
      <c r="AB41" s="154"/>
      <c r="AC41" s="112">
        <f t="shared" si="5"/>
        <v>1772.815223</v>
      </c>
      <c r="AD41" s="132" t="s">
        <v>46</v>
      </c>
      <c r="AE41" s="114">
        <v>1499.1</v>
      </c>
      <c r="AF41" s="115">
        <f t="shared" si="6"/>
        <v>-273.71522300000015</v>
      </c>
    </row>
    <row r="42" spans="1:32" ht="15.75" customHeight="1" thickBot="1">
      <c r="A42" s="116">
        <v>23</v>
      </c>
      <c r="B42" s="212" t="s">
        <v>112</v>
      </c>
      <c r="C42" s="213" t="s">
        <v>113</v>
      </c>
      <c r="D42" s="119">
        <v>337</v>
      </c>
      <c r="E42" s="120" t="s">
        <v>45</v>
      </c>
      <c r="F42" s="219">
        <v>50</v>
      </c>
      <c r="G42" s="215">
        <v>64</v>
      </c>
      <c r="H42" s="220"/>
      <c r="I42" s="215">
        <f t="shared" si="0"/>
        <v>114</v>
      </c>
      <c r="J42" s="123">
        <v>102</v>
      </c>
      <c r="K42" s="124">
        <v>1257.4</v>
      </c>
      <c r="L42" s="100"/>
      <c r="M42" s="125">
        <f t="shared" si="1"/>
        <v>65.3</v>
      </c>
      <c r="N42" s="126"/>
      <c r="O42" s="126"/>
      <c r="P42" s="127"/>
      <c r="Q42" s="222">
        <f>50+6.8+8.5</f>
        <v>65.3</v>
      </c>
      <c r="R42" s="126"/>
      <c r="S42" s="128"/>
      <c r="T42" s="129"/>
      <c r="U42" s="106">
        <v>62.3</v>
      </c>
      <c r="V42" s="107">
        <f t="shared" si="2"/>
        <v>1385</v>
      </c>
      <c r="W42" s="108">
        <f t="shared" si="3"/>
        <v>223.409675</v>
      </c>
      <c r="X42" s="109">
        <f t="shared" si="8"/>
        <v>59.409675</v>
      </c>
      <c r="Y42" s="217">
        <v>5</v>
      </c>
      <c r="Z42" s="218"/>
      <c r="AA42" s="218">
        <v>37</v>
      </c>
      <c r="AB42" s="218">
        <v>122</v>
      </c>
      <c r="AC42" s="112">
        <f t="shared" si="5"/>
        <v>1608.4096749999999</v>
      </c>
      <c r="AD42" s="132" t="s">
        <v>46</v>
      </c>
      <c r="AE42" s="114">
        <v>1600</v>
      </c>
      <c r="AF42" s="115">
        <f t="shared" si="6"/>
        <v>-8.40967499999988</v>
      </c>
    </row>
    <row r="43" spans="1:32" ht="15.75" customHeight="1" thickBot="1">
      <c r="A43" s="116">
        <v>24</v>
      </c>
      <c r="B43" s="212" t="s">
        <v>114</v>
      </c>
      <c r="C43" s="213" t="s">
        <v>115</v>
      </c>
      <c r="D43" s="119">
        <v>337</v>
      </c>
      <c r="E43" s="120" t="s">
        <v>45</v>
      </c>
      <c r="F43" s="219">
        <v>56</v>
      </c>
      <c r="G43" s="215">
        <v>69</v>
      </c>
      <c r="H43" s="220"/>
      <c r="I43" s="215">
        <f t="shared" si="0"/>
        <v>125</v>
      </c>
      <c r="J43" s="123">
        <v>111</v>
      </c>
      <c r="K43" s="124">
        <v>1332.4</v>
      </c>
      <c r="L43" s="100"/>
      <c r="M43" s="125">
        <f t="shared" si="1"/>
        <v>0</v>
      </c>
      <c r="N43" s="126"/>
      <c r="O43" s="126"/>
      <c r="P43" s="127"/>
      <c r="Q43" s="126"/>
      <c r="R43" s="126"/>
      <c r="S43" s="128"/>
      <c r="T43" s="129"/>
      <c r="U43" s="106">
        <f>4.5+0.8</f>
        <v>5.3</v>
      </c>
      <c r="V43" s="107">
        <f t="shared" si="2"/>
        <v>1337.7</v>
      </c>
      <c r="W43" s="108">
        <f t="shared" si="3"/>
        <v>291.838836</v>
      </c>
      <c r="X43" s="109">
        <f t="shared" si="8"/>
        <v>66.53883599999999</v>
      </c>
      <c r="Y43" s="217">
        <v>5</v>
      </c>
      <c r="Z43" s="218"/>
      <c r="AA43" s="218">
        <v>220.3</v>
      </c>
      <c r="AB43" s="218"/>
      <c r="AC43" s="112">
        <f t="shared" si="5"/>
        <v>1629.5388360000002</v>
      </c>
      <c r="AD43" s="132" t="s">
        <v>46</v>
      </c>
      <c r="AE43" s="114">
        <v>1624.2</v>
      </c>
      <c r="AF43" s="115">
        <f t="shared" si="6"/>
        <v>-5.3388360000001285</v>
      </c>
    </row>
    <row r="44" spans="1:32" ht="15.75" customHeight="1" thickBot="1">
      <c r="A44" s="133">
        <v>25</v>
      </c>
      <c r="B44" s="223" t="s">
        <v>116</v>
      </c>
      <c r="C44" s="224" t="s">
        <v>117</v>
      </c>
      <c r="D44" s="136">
        <v>337</v>
      </c>
      <c r="E44" s="225" t="s">
        <v>45</v>
      </c>
      <c r="F44" s="226">
        <v>32</v>
      </c>
      <c r="G44" s="227">
        <v>41</v>
      </c>
      <c r="H44" s="228"/>
      <c r="I44" s="227">
        <f t="shared" si="0"/>
        <v>73</v>
      </c>
      <c r="J44" s="139">
        <v>65</v>
      </c>
      <c r="K44" s="140">
        <v>832.7</v>
      </c>
      <c r="L44" s="100"/>
      <c r="M44" s="141">
        <f t="shared" si="1"/>
        <v>260</v>
      </c>
      <c r="N44" s="142"/>
      <c r="O44" s="142"/>
      <c r="P44" s="142"/>
      <c r="Q44" s="142">
        <v>260</v>
      </c>
      <c r="R44" s="142"/>
      <c r="S44" s="143"/>
      <c r="T44" s="144"/>
      <c r="U44" s="145"/>
      <c r="V44" s="144">
        <f t="shared" si="2"/>
        <v>1092.7</v>
      </c>
      <c r="W44" s="146">
        <f t="shared" si="3"/>
        <v>168.02219200000002</v>
      </c>
      <c r="X44" s="109">
        <f t="shared" si="8"/>
        <v>38.022192000000004</v>
      </c>
      <c r="Y44" s="229">
        <v>5.5</v>
      </c>
      <c r="Z44" s="230"/>
      <c r="AA44" s="230">
        <v>124.5</v>
      </c>
      <c r="AB44" s="230"/>
      <c r="AC44" s="149">
        <f t="shared" si="5"/>
        <v>1260.7221920000002</v>
      </c>
      <c r="AD44" s="231" t="s">
        <v>46</v>
      </c>
      <c r="AE44" s="114">
        <v>993.5</v>
      </c>
      <c r="AF44" s="115">
        <f t="shared" si="6"/>
        <v>-267.2221920000002</v>
      </c>
    </row>
    <row r="45" spans="1:32" ht="15.75" customHeight="1" thickBot="1">
      <c r="A45" s="116">
        <v>26</v>
      </c>
      <c r="B45" s="212" t="s">
        <v>118</v>
      </c>
      <c r="C45" s="213" t="s">
        <v>119</v>
      </c>
      <c r="D45" s="119">
        <v>337</v>
      </c>
      <c r="E45" s="120" t="s">
        <v>45</v>
      </c>
      <c r="F45" s="219">
        <v>87</v>
      </c>
      <c r="G45" s="215">
        <v>113</v>
      </c>
      <c r="H45" s="220"/>
      <c r="I45" s="215">
        <f t="shared" si="0"/>
        <v>200</v>
      </c>
      <c r="J45" s="123">
        <v>178</v>
      </c>
      <c r="K45" s="124">
        <v>1890.7</v>
      </c>
      <c r="L45" s="100"/>
      <c r="M45" s="125">
        <f t="shared" si="1"/>
        <v>0</v>
      </c>
      <c r="N45" s="126"/>
      <c r="O45" s="126"/>
      <c r="P45" s="127"/>
      <c r="Q45" s="126"/>
      <c r="R45" s="126"/>
      <c r="S45" s="128"/>
      <c r="T45" s="129"/>
      <c r="U45" s="106">
        <v>60.1</v>
      </c>
      <c r="V45" s="107">
        <f t="shared" si="2"/>
        <v>1950.8</v>
      </c>
      <c r="W45" s="108">
        <f t="shared" si="3"/>
        <v>457.7728345</v>
      </c>
      <c r="X45" s="109">
        <f t="shared" si="8"/>
        <v>103.3728345</v>
      </c>
      <c r="Y45" s="217">
        <v>0</v>
      </c>
      <c r="Z45" s="218">
        <v>50</v>
      </c>
      <c r="AA45" s="218">
        <v>304.4</v>
      </c>
      <c r="AB45" s="218"/>
      <c r="AC45" s="112">
        <f t="shared" si="5"/>
        <v>2408.5728344999998</v>
      </c>
      <c r="AD45" s="132" t="s">
        <v>46</v>
      </c>
      <c r="AE45" s="114">
        <f>2054.2+50</f>
        <v>2104.2</v>
      </c>
      <c r="AF45" s="115">
        <f t="shared" si="6"/>
        <v>-304.37283449999995</v>
      </c>
    </row>
    <row r="46" spans="1:32" ht="15.75" customHeight="1" thickBot="1">
      <c r="A46" s="133">
        <v>27</v>
      </c>
      <c r="B46" s="223" t="s">
        <v>120</v>
      </c>
      <c r="C46" s="224" t="s">
        <v>121</v>
      </c>
      <c r="D46" s="136">
        <v>337</v>
      </c>
      <c r="E46" s="225" t="s">
        <v>45</v>
      </c>
      <c r="F46" s="226">
        <v>31</v>
      </c>
      <c r="G46" s="227">
        <v>66</v>
      </c>
      <c r="H46" s="228"/>
      <c r="I46" s="227">
        <f t="shared" si="0"/>
        <v>97</v>
      </c>
      <c r="J46" s="139">
        <v>89</v>
      </c>
      <c r="K46" s="140">
        <v>1140.2</v>
      </c>
      <c r="L46" s="100"/>
      <c r="M46" s="141">
        <f t="shared" si="1"/>
        <v>0</v>
      </c>
      <c r="N46" s="142"/>
      <c r="O46" s="142"/>
      <c r="P46" s="142"/>
      <c r="Q46" s="142"/>
      <c r="R46" s="142"/>
      <c r="S46" s="143"/>
      <c r="T46" s="144"/>
      <c r="U46" s="145"/>
      <c r="V46" s="144">
        <f t="shared" si="2"/>
        <v>1140.2</v>
      </c>
      <c r="W46" s="146">
        <f t="shared" si="3"/>
        <v>130.0339985</v>
      </c>
      <c r="X46" s="109">
        <f t="shared" si="8"/>
        <v>36.8339985</v>
      </c>
      <c r="Y46" s="229">
        <v>6.7</v>
      </c>
      <c r="Z46" s="230"/>
      <c r="AA46" s="230">
        <v>86.5</v>
      </c>
      <c r="AB46" s="230"/>
      <c r="AC46" s="149">
        <f t="shared" si="5"/>
        <v>1270.2339985</v>
      </c>
      <c r="AD46" s="231" t="s">
        <v>46</v>
      </c>
      <c r="AE46" s="114">
        <v>1263.5</v>
      </c>
      <c r="AF46" s="115">
        <f t="shared" si="6"/>
        <v>-6.733998500000098</v>
      </c>
    </row>
    <row r="47" spans="1:33" ht="15.75" customHeight="1" thickBot="1">
      <c r="A47" s="116">
        <v>28</v>
      </c>
      <c r="B47" s="232" t="s">
        <v>122</v>
      </c>
      <c r="C47" s="213" t="s">
        <v>123</v>
      </c>
      <c r="D47" s="119">
        <v>337</v>
      </c>
      <c r="E47" s="120" t="s">
        <v>45</v>
      </c>
      <c r="F47" s="219">
        <v>54</v>
      </c>
      <c r="G47" s="215">
        <v>86</v>
      </c>
      <c r="H47" s="220"/>
      <c r="I47" s="215">
        <f t="shared" si="0"/>
        <v>140</v>
      </c>
      <c r="J47" s="123">
        <v>127</v>
      </c>
      <c r="K47" s="124">
        <v>1465.8</v>
      </c>
      <c r="L47" s="100"/>
      <c r="M47" s="125">
        <f t="shared" si="1"/>
        <v>325</v>
      </c>
      <c r="N47" s="126"/>
      <c r="O47" s="126"/>
      <c r="P47" s="127"/>
      <c r="Q47" s="126">
        <v>325</v>
      </c>
      <c r="R47" s="126"/>
      <c r="S47" s="128"/>
      <c r="T47" s="129"/>
      <c r="U47" s="106">
        <v>27.1</v>
      </c>
      <c r="V47" s="107">
        <f t="shared" si="2"/>
        <v>1817.8999999999999</v>
      </c>
      <c r="W47" s="108">
        <f t="shared" si="3"/>
        <v>160.462449</v>
      </c>
      <c r="X47" s="109">
        <f t="shared" si="8"/>
        <v>64.162449</v>
      </c>
      <c r="Y47" s="217">
        <v>15.6</v>
      </c>
      <c r="Z47" s="218"/>
      <c r="AA47" s="218">
        <v>40.7</v>
      </c>
      <c r="AB47" s="218">
        <v>40</v>
      </c>
      <c r="AC47" s="112">
        <f t="shared" si="5"/>
        <v>1978.3624489999997</v>
      </c>
      <c r="AD47" s="132" t="s">
        <v>46</v>
      </c>
      <c r="AE47" s="114">
        <v>1557.1</v>
      </c>
      <c r="AF47" s="115">
        <f t="shared" si="6"/>
        <v>-421.26244899999983</v>
      </c>
      <c r="AG47" s="151"/>
    </row>
    <row r="48" spans="1:32" ht="15.75" customHeight="1" thickBot="1">
      <c r="A48" s="116">
        <v>29</v>
      </c>
      <c r="B48" s="232" t="s">
        <v>124</v>
      </c>
      <c r="C48" s="213" t="s">
        <v>125</v>
      </c>
      <c r="D48" s="119">
        <v>337</v>
      </c>
      <c r="E48" s="120" t="s">
        <v>45</v>
      </c>
      <c r="F48" s="219">
        <v>59</v>
      </c>
      <c r="G48" s="215">
        <v>86</v>
      </c>
      <c r="H48" s="220"/>
      <c r="I48" s="215">
        <f t="shared" si="0"/>
        <v>145</v>
      </c>
      <c r="J48" s="123">
        <v>130</v>
      </c>
      <c r="K48" s="124">
        <v>1490.8</v>
      </c>
      <c r="L48" s="100"/>
      <c r="M48" s="125">
        <f t="shared" si="1"/>
        <v>390.5</v>
      </c>
      <c r="N48" s="126">
        <v>130.5</v>
      </c>
      <c r="O48" s="126"/>
      <c r="P48" s="127"/>
      <c r="Q48" s="126">
        <v>260</v>
      </c>
      <c r="R48" s="126"/>
      <c r="S48" s="128"/>
      <c r="T48" s="129"/>
      <c r="U48" s="106">
        <v>60.2</v>
      </c>
      <c r="V48" s="107">
        <f t="shared" si="2"/>
        <v>1941.5</v>
      </c>
      <c r="W48" s="108">
        <f t="shared" si="3"/>
        <v>214.1034165</v>
      </c>
      <c r="X48" s="109">
        <f t="shared" si="8"/>
        <v>70.10341650000001</v>
      </c>
      <c r="Y48" s="217">
        <v>13.4</v>
      </c>
      <c r="Z48" s="218"/>
      <c r="AA48" s="218">
        <v>130.6</v>
      </c>
      <c r="AB48" s="218"/>
      <c r="AC48" s="112">
        <f t="shared" si="5"/>
        <v>2155.6034165</v>
      </c>
      <c r="AD48" s="132" t="s">
        <v>46</v>
      </c>
      <c r="AE48" s="114">
        <v>2160.2</v>
      </c>
      <c r="AF48" s="233">
        <f t="shared" si="6"/>
        <v>4.596583499999724</v>
      </c>
    </row>
    <row r="49" spans="1:32" ht="15.75" customHeight="1" thickBot="1">
      <c r="A49" s="133">
        <v>30</v>
      </c>
      <c r="B49" s="223" t="s">
        <v>126</v>
      </c>
      <c r="C49" s="224" t="s">
        <v>127</v>
      </c>
      <c r="D49" s="136">
        <v>337</v>
      </c>
      <c r="E49" s="225" t="s">
        <v>45</v>
      </c>
      <c r="F49" s="226">
        <v>41</v>
      </c>
      <c r="G49" s="227">
        <v>54</v>
      </c>
      <c r="H49" s="228"/>
      <c r="I49" s="227">
        <f t="shared" si="0"/>
        <v>95</v>
      </c>
      <c r="J49" s="139">
        <v>85</v>
      </c>
      <c r="K49" s="140">
        <v>1088.9</v>
      </c>
      <c r="L49" s="100"/>
      <c r="M49" s="141">
        <f t="shared" si="1"/>
        <v>0</v>
      </c>
      <c r="N49" s="142"/>
      <c r="O49" s="142"/>
      <c r="P49" s="142"/>
      <c r="Q49" s="142"/>
      <c r="R49" s="142"/>
      <c r="S49" s="143"/>
      <c r="T49" s="144"/>
      <c r="U49" s="145"/>
      <c r="V49" s="144">
        <f t="shared" si="2"/>
        <v>1088.9</v>
      </c>
      <c r="W49" s="146">
        <f t="shared" si="3"/>
        <v>152.7159335</v>
      </c>
      <c r="X49" s="109">
        <f t="shared" si="8"/>
        <v>48.7159335</v>
      </c>
      <c r="Y49" s="229">
        <v>9.7</v>
      </c>
      <c r="Z49" s="230"/>
      <c r="AA49" s="230">
        <v>94.3</v>
      </c>
      <c r="AB49" s="230"/>
      <c r="AC49" s="149">
        <f t="shared" si="5"/>
        <v>1241.6159335000002</v>
      </c>
      <c r="AD49" s="231" t="s">
        <v>46</v>
      </c>
      <c r="AE49" s="114">
        <v>1147.3</v>
      </c>
      <c r="AF49" s="115">
        <f t="shared" si="6"/>
        <v>-94.31593350000026</v>
      </c>
    </row>
    <row r="50" spans="1:32" ht="15.75" customHeight="1" thickBot="1">
      <c r="A50" s="116">
        <v>31</v>
      </c>
      <c r="B50" s="212" t="s">
        <v>128</v>
      </c>
      <c r="C50" s="213" t="s">
        <v>55</v>
      </c>
      <c r="D50" s="119">
        <v>337</v>
      </c>
      <c r="E50" s="120" t="s">
        <v>45</v>
      </c>
      <c r="F50" s="219">
        <v>49</v>
      </c>
      <c r="G50" s="215">
        <v>68</v>
      </c>
      <c r="H50" s="220"/>
      <c r="I50" s="215">
        <f t="shared" si="0"/>
        <v>117</v>
      </c>
      <c r="J50" s="123">
        <v>105</v>
      </c>
      <c r="K50" s="124">
        <v>1282.4</v>
      </c>
      <c r="L50" s="100"/>
      <c r="M50" s="125">
        <f t="shared" si="1"/>
        <v>0</v>
      </c>
      <c r="N50" s="126"/>
      <c r="O50" s="126"/>
      <c r="P50" s="127"/>
      <c r="Q50" s="126"/>
      <c r="R50" s="126"/>
      <c r="S50" s="128"/>
      <c r="T50" s="129"/>
      <c r="U50" s="106"/>
      <c r="V50" s="107">
        <f t="shared" si="2"/>
        <v>1282.4</v>
      </c>
      <c r="W50" s="108">
        <f t="shared" si="3"/>
        <v>136.3214815</v>
      </c>
      <c r="X50" s="109">
        <f t="shared" si="8"/>
        <v>58.2214815</v>
      </c>
      <c r="Y50" s="217">
        <v>10.5</v>
      </c>
      <c r="Z50" s="218"/>
      <c r="AA50" s="218">
        <v>67.6</v>
      </c>
      <c r="AB50" s="218"/>
      <c r="AC50" s="112">
        <f t="shared" si="5"/>
        <v>1418.7214815000002</v>
      </c>
      <c r="AD50" s="132" t="s">
        <v>46</v>
      </c>
      <c r="AE50" s="114">
        <v>1351.1</v>
      </c>
      <c r="AF50" s="115">
        <f t="shared" si="6"/>
        <v>-67.6214815000003</v>
      </c>
    </row>
    <row r="51" spans="1:32" ht="15.75" customHeight="1" thickBot="1">
      <c r="A51" s="159">
        <v>32</v>
      </c>
      <c r="B51" s="234" t="s">
        <v>129</v>
      </c>
      <c r="C51" s="235" t="s">
        <v>130</v>
      </c>
      <c r="D51" s="162">
        <v>337</v>
      </c>
      <c r="E51" s="236" t="s">
        <v>45</v>
      </c>
      <c r="F51" s="237">
        <v>73</v>
      </c>
      <c r="G51" s="238">
        <v>95</v>
      </c>
      <c r="H51" s="239"/>
      <c r="I51" s="238">
        <f t="shared" si="0"/>
        <v>168</v>
      </c>
      <c r="J51" s="123">
        <v>150</v>
      </c>
      <c r="K51" s="124">
        <v>1657.4</v>
      </c>
      <c r="L51" s="240"/>
      <c r="M51" s="241">
        <f t="shared" si="1"/>
        <v>0</v>
      </c>
      <c r="N51" s="242"/>
      <c r="O51" s="242"/>
      <c r="P51" s="243"/>
      <c r="Q51" s="242"/>
      <c r="R51" s="242"/>
      <c r="S51" s="244"/>
      <c r="T51" s="245"/>
      <c r="U51" s="174">
        <v>62.2</v>
      </c>
      <c r="V51" s="175">
        <f t="shared" si="2"/>
        <v>1719.6000000000001</v>
      </c>
      <c r="W51" s="176">
        <f t="shared" si="3"/>
        <v>244.93812549999998</v>
      </c>
      <c r="X51" s="109">
        <f t="shared" si="8"/>
        <v>86.7381255</v>
      </c>
      <c r="Y51" s="246">
        <v>5</v>
      </c>
      <c r="Z51" s="247"/>
      <c r="AA51" s="247">
        <v>153.2</v>
      </c>
      <c r="AB51" s="247"/>
      <c r="AC51" s="179">
        <f t="shared" si="5"/>
        <v>1964.5381255000002</v>
      </c>
      <c r="AD51" s="180" t="s">
        <v>46</v>
      </c>
      <c r="AE51" s="114">
        <v>1834.9</v>
      </c>
      <c r="AF51" s="115">
        <f t="shared" si="6"/>
        <v>-129.63812550000011</v>
      </c>
    </row>
    <row r="52" spans="1:32" ht="15.75" customHeight="1" thickBot="1">
      <c r="A52" s="248"/>
      <c r="B52" s="249" t="s">
        <v>131</v>
      </c>
      <c r="C52" s="250"/>
      <c r="D52" s="251"/>
      <c r="E52" s="252"/>
      <c r="F52" s="250">
        <f>SUM(F20:F51)</f>
        <v>2379</v>
      </c>
      <c r="G52" s="250">
        <f>SUM(G20:G51)</f>
        <v>3194</v>
      </c>
      <c r="H52" s="250">
        <f>SUM(H20:H51)</f>
        <v>0</v>
      </c>
      <c r="I52" s="253">
        <f t="shared" si="0"/>
        <v>5573</v>
      </c>
      <c r="J52" s="254">
        <f>SUM(J20:J51)</f>
        <v>4980</v>
      </c>
      <c r="K52" s="189">
        <f>SUM(K20:K51)</f>
        <v>54384.299999999996</v>
      </c>
      <c r="L52" s="190">
        <f>SUM(L20:L51)</f>
        <v>0</v>
      </c>
      <c r="M52" s="255">
        <f t="shared" si="1"/>
        <v>6474.2</v>
      </c>
      <c r="N52" s="256">
        <f aca="true" t="shared" si="9" ref="N52:U52">SUM(N20:N51)</f>
        <v>470.2</v>
      </c>
      <c r="O52" s="256">
        <f t="shared" si="9"/>
        <v>0</v>
      </c>
      <c r="P52" s="257">
        <f t="shared" si="9"/>
        <v>0</v>
      </c>
      <c r="Q52" s="256">
        <f t="shared" si="9"/>
        <v>5719</v>
      </c>
      <c r="R52" s="256">
        <f t="shared" si="9"/>
        <v>0</v>
      </c>
      <c r="S52" s="258">
        <f t="shared" si="9"/>
        <v>285</v>
      </c>
      <c r="T52" s="259">
        <f t="shared" si="9"/>
        <v>0</v>
      </c>
      <c r="U52" s="188">
        <f t="shared" si="9"/>
        <v>1337.6</v>
      </c>
      <c r="V52" s="189">
        <f t="shared" si="2"/>
        <v>62196.09999999999</v>
      </c>
      <c r="W52" s="260">
        <f>SUM(X52:AB52)</f>
        <v>7440.9123365</v>
      </c>
      <c r="X52" s="261">
        <f>SUM(X20:X51)</f>
        <v>2826.7123365</v>
      </c>
      <c r="Y52" s="261">
        <f>SUM(Y20:Y51)</f>
        <v>366.49999999999994</v>
      </c>
      <c r="Z52" s="261">
        <f>SUM(Z20:Z51)</f>
        <v>100</v>
      </c>
      <c r="AA52" s="261">
        <f>SUM(AA20:AA51)</f>
        <v>3985.7</v>
      </c>
      <c r="AB52" s="261">
        <f>SUM(AB20:AB51)</f>
        <v>162</v>
      </c>
      <c r="AC52" s="261">
        <f t="shared" si="5"/>
        <v>69637.01233649999</v>
      </c>
      <c r="AD52" s="262" t="s">
        <v>46</v>
      </c>
      <c r="AE52" s="114"/>
      <c r="AF52" s="115"/>
    </row>
    <row r="53" spans="1:32" ht="15.75" customHeight="1" thickBot="1">
      <c r="A53" s="263">
        <v>1</v>
      </c>
      <c r="B53" s="264" t="s">
        <v>132</v>
      </c>
      <c r="C53" s="265" t="s">
        <v>66</v>
      </c>
      <c r="D53" s="266">
        <v>102</v>
      </c>
      <c r="E53" s="206" t="s">
        <v>45</v>
      </c>
      <c r="F53" s="267">
        <v>271</v>
      </c>
      <c r="G53" s="267"/>
      <c r="H53" s="267"/>
      <c r="I53" s="208">
        <f t="shared" si="0"/>
        <v>271</v>
      </c>
      <c r="J53" s="123">
        <v>203</v>
      </c>
      <c r="K53" s="124">
        <v>2099</v>
      </c>
      <c r="L53" s="100"/>
      <c r="M53" s="268">
        <f t="shared" si="1"/>
        <v>0</v>
      </c>
      <c r="N53" s="126"/>
      <c r="O53" s="126"/>
      <c r="P53" s="127"/>
      <c r="Q53" s="126"/>
      <c r="R53" s="126"/>
      <c r="S53" s="128"/>
      <c r="T53" s="129"/>
      <c r="U53" s="269">
        <f>30.4+9+0.8</f>
        <v>40.199999999999996</v>
      </c>
      <c r="V53" s="270">
        <f t="shared" si="2"/>
        <v>2139.2</v>
      </c>
      <c r="W53" s="108">
        <f t="shared" si="3"/>
        <v>539.0004385</v>
      </c>
      <c r="X53" s="109">
        <f t="shared" si="8"/>
        <v>322.0004385</v>
      </c>
      <c r="Y53" s="271">
        <v>12.6</v>
      </c>
      <c r="Z53" s="272">
        <v>50</v>
      </c>
      <c r="AA53" s="272">
        <v>154.4</v>
      </c>
      <c r="AB53" s="272"/>
      <c r="AC53" s="112">
        <f t="shared" si="5"/>
        <v>2678.2004385</v>
      </c>
      <c r="AD53" s="211" t="s">
        <v>46</v>
      </c>
      <c r="AE53" s="114">
        <v>2501.4</v>
      </c>
      <c r="AF53" s="115">
        <f t="shared" si="6"/>
        <v>-176.80043849999993</v>
      </c>
    </row>
    <row r="54" spans="1:32" ht="15.75" customHeight="1" thickBot="1">
      <c r="A54" s="273">
        <v>2</v>
      </c>
      <c r="B54" s="274" t="s">
        <v>133</v>
      </c>
      <c r="C54" s="275" t="s">
        <v>134</v>
      </c>
      <c r="D54" s="276">
        <v>102</v>
      </c>
      <c r="E54" s="277" t="s">
        <v>45</v>
      </c>
      <c r="F54" s="278">
        <v>30</v>
      </c>
      <c r="G54" s="279"/>
      <c r="H54" s="279"/>
      <c r="I54" s="280">
        <f t="shared" si="0"/>
        <v>30</v>
      </c>
      <c r="J54" s="139">
        <v>23</v>
      </c>
      <c r="K54" s="281">
        <v>420.3</v>
      </c>
      <c r="L54" s="100"/>
      <c r="M54" s="268">
        <f t="shared" si="1"/>
        <v>0</v>
      </c>
      <c r="N54" s="126"/>
      <c r="O54" s="126"/>
      <c r="P54" s="127"/>
      <c r="Q54" s="126"/>
      <c r="R54" s="126"/>
      <c r="S54" s="128"/>
      <c r="T54" s="129"/>
      <c r="U54" s="282"/>
      <c r="V54" s="270">
        <f t="shared" si="2"/>
        <v>420.3</v>
      </c>
      <c r="W54" s="108">
        <f t="shared" si="3"/>
        <v>64.245805</v>
      </c>
      <c r="X54" s="109">
        <f t="shared" si="8"/>
        <v>35.645805</v>
      </c>
      <c r="Y54" s="217"/>
      <c r="Z54" s="218"/>
      <c r="AA54" s="218">
        <v>28.6</v>
      </c>
      <c r="AB54" s="218"/>
      <c r="AC54" s="112">
        <f t="shared" si="5"/>
        <v>484.54580500000003</v>
      </c>
      <c r="AD54" s="132" t="s">
        <v>46</v>
      </c>
      <c r="AE54" s="114">
        <v>484.5</v>
      </c>
      <c r="AF54" s="115">
        <f t="shared" si="6"/>
        <v>-0.04580500000002985</v>
      </c>
    </row>
    <row r="55" spans="1:33" ht="15.75" customHeight="1" thickBot="1">
      <c r="A55" s="263">
        <v>3</v>
      </c>
      <c r="B55" s="274" t="s">
        <v>135</v>
      </c>
      <c r="C55" s="275" t="s">
        <v>136</v>
      </c>
      <c r="D55" s="276">
        <v>102</v>
      </c>
      <c r="E55" s="277" t="s">
        <v>45</v>
      </c>
      <c r="F55" s="278">
        <v>64</v>
      </c>
      <c r="G55" s="279"/>
      <c r="H55" s="279"/>
      <c r="I55" s="280">
        <f t="shared" si="0"/>
        <v>64</v>
      </c>
      <c r="J55" s="139">
        <v>48</v>
      </c>
      <c r="K55" s="124">
        <v>807.5</v>
      </c>
      <c r="L55" s="100"/>
      <c r="M55" s="268">
        <f t="shared" si="1"/>
        <v>120</v>
      </c>
      <c r="N55" s="126"/>
      <c r="O55" s="126"/>
      <c r="P55" s="127"/>
      <c r="Q55" s="126">
        <v>120</v>
      </c>
      <c r="R55" s="126"/>
      <c r="S55" s="128"/>
      <c r="T55" s="129"/>
      <c r="U55" s="283"/>
      <c r="V55" s="270">
        <f t="shared" si="2"/>
        <v>927.5</v>
      </c>
      <c r="W55" s="108">
        <f t="shared" si="3"/>
        <v>204.144384</v>
      </c>
      <c r="X55" s="109">
        <f t="shared" si="8"/>
        <v>76.04438400000001</v>
      </c>
      <c r="Y55" s="217"/>
      <c r="Z55" s="218"/>
      <c r="AA55" s="218">
        <v>128.1</v>
      </c>
      <c r="AB55" s="218"/>
      <c r="AC55" s="112">
        <f t="shared" si="5"/>
        <v>1131.644384</v>
      </c>
      <c r="AD55" s="132" t="s">
        <v>46</v>
      </c>
      <c r="AE55" s="114">
        <v>1141</v>
      </c>
      <c r="AF55" s="233">
        <f t="shared" si="6"/>
        <v>9.355616000000055</v>
      </c>
      <c r="AG55" s="151"/>
    </row>
    <row r="56" spans="1:32" ht="15.75" customHeight="1" thickBot="1">
      <c r="A56" s="273">
        <v>4</v>
      </c>
      <c r="B56" s="274" t="s">
        <v>137</v>
      </c>
      <c r="C56" s="275" t="s">
        <v>138</v>
      </c>
      <c r="D56" s="276">
        <v>102</v>
      </c>
      <c r="E56" s="137" t="s">
        <v>49</v>
      </c>
      <c r="F56" s="278">
        <v>28</v>
      </c>
      <c r="G56" s="279"/>
      <c r="H56" s="279"/>
      <c r="I56" s="280">
        <f t="shared" si="0"/>
        <v>28</v>
      </c>
      <c r="J56" s="139">
        <v>21</v>
      </c>
      <c r="K56" s="281">
        <v>383.7</v>
      </c>
      <c r="L56" s="100"/>
      <c r="M56" s="268">
        <f t="shared" si="1"/>
        <v>0</v>
      </c>
      <c r="N56" s="126"/>
      <c r="O56" s="126"/>
      <c r="P56" s="127"/>
      <c r="Q56" s="126"/>
      <c r="R56" s="126"/>
      <c r="S56" s="128"/>
      <c r="T56" s="129"/>
      <c r="U56" s="282">
        <f>4.5+0.8</f>
        <v>5.3</v>
      </c>
      <c r="V56" s="270">
        <f t="shared" si="2"/>
        <v>389</v>
      </c>
      <c r="W56" s="108">
        <f t="shared" si="3"/>
        <v>53.069418</v>
      </c>
      <c r="X56" s="109">
        <f t="shared" si="8"/>
        <v>33.269417999999995</v>
      </c>
      <c r="Y56" s="217"/>
      <c r="Z56" s="218"/>
      <c r="AA56" s="218">
        <v>19.8</v>
      </c>
      <c r="AB56" s="218"/>
      <c r="AC56" s="112">
        <f t="shared" si="5"/>
        <v>442.069418</v>
      </c>
      <c r="AD56" s="132" t="s">
        <v>46</v>
      </c>
      <c r="AE56" s="284">
        <f>AC56-AA56-U56</f>
        <v>416.96941799999996</v>
      </c>
      <c r="AF56" s="115">
        <f t="shared" si="6"/>
        <v>-25.100000000000023</v>
      </c>
    </row>
    <row r="57" spans="1:32" ht="15.75" customHeight="1" thickBot="1">
      <c r="A57" s="285">
        <v>5</v>
      </c>
      <c r="B57" s="286" t="s">
        <v>139</v>
      </c>
      <c r="C57" s="287" t="s">
        <v>140</v>
      </c>
      <c r="D57" s="288">
        <v>102</v>
      </c>
      <c r="E57" s="289" t="s">
        <v>45</v>
      </c>
      <c r="F57" s="290">
        <v>23</v>
      </c>
      <c r="G57" s="291"/>
      <c r="H57" s="291"/>
      <c r="I57" s="292">
        <f t="shared" si="0"/>
        <v>23</v>
      </c>
      <c r="J57" s="139">
        <v>17</v>
      </c>
      <c r="K57" s="281">
        <v>310.6</v>
      </c>
      <c r="L57" s="240"/>
      <c r="M57" s="293">
        <f t="shared" si="1"/>
        <v>120</v>
      </c>
      <c r="N57" s="170"/>
      <c r="O57" s="170"/>
      <c r="P57" s="171"/>
      <c r="Q57" s="170">
        <v>120</v>
      </c>
      <c r="R57" s="170"/>
      <c r="S57" s="172"/>
      <c r="T57" s="173"/>
      <c r="U57" s="282"/>
      <c r="V57" s="294">
        <f>K57+M57+U57</f>
        <v>430.6</v>
      </c>
      <c r="W57" s="176">
        <f t="shared" si="3"/>
        <v>88.5284505</v>
      </c>
      <c r="X57" s="109">
        <f t="shared" si="8"/>
        <v>27.3284505</v>
      </c>
      <c r="Y57" s="246"/>
      <c r="Z57" s="247"/>
      <c r="AA57" s="247">
        <v>41.2</v>
      </c>
      <c r="AB57" s="247">
        <v>20</v>
      </c>
      <c r="AC57" s="179">
        <f t="shared" si="5"/>
        <v>519.1284505</v>
      </c>
      <c r="AD57" s="180" t="s">
        <v>46</v>
      </c>
      <c r="AE57" s="114">
        <v>458</v>
      </c>
      <c r="AF57" s="115">
        <f t="shared" si="6"/>
        <v>-61.128450499999985</v>
      </c>
    </row>
    <row r="58" spans="1:32" ht="19.5" thickBot="1">
      <c r="A58" s="295"/>
      <c r="B58" s="296" t="s">
        <v>141</v>
      </c>
      <c r="C58" s="296"/>
      <c r="D58" s="296"/>
      <c r="E58" s="296"/>
      <c r="F58" s="296">
        <f>SUM(F53:F57)</f>
        <v>416</v>
      </c>
      <c r="G58" s="296">
        <f>SUM(G53:G57)</f>
        <v>0</v>
      </c>
      <c r="H58" s="296">
        <f>SUM(H53:H57)</f>
        <v>0</v>
      </c>
      <c r="I58" s="297">
        <f t="shared" si="0"/>
        <v>416</v>
      </c>
      <c r="J58" s="298">
        <f>SUM(J53:J57)</f>
        <v>312</v>
      </c>
      <c r="K58" s="299">
        <f>SUM(K53:K57)</f>
        <v>4021.1</v>
      </c>
      <c r="L58" s="190">
        <f>SUM(L53:L57)</f>
        <v>0</v>
      </c>
      <c r="M58" s="300">
        <f t="shared" si="1"/>
        <v>240</v>
      </c>
      <c r="N58" s="301">
        <f aca="true" t="shared" si="10" ref="N58:U58">SUM(N53:N57)</f>
        <v>0</v>
      </c>
      <c r="O58" s="301">
        <f t="shared" si="10"/>
        <v>0</v>
      </c>
      <c r="P58" s="302">
        <f t="shared" si="10"/>
        <v>0</v>
      </c>
      <c r="Q58" s="301">
        <f t="shared" si="10"/>
        <v>240</v>
      </c>
      <c r="R58" s="301">
        <f t="shared" si="10"/>
        <v>0</v>
      </c>
      <c r="S58" s="303">
        <f t="shared" si="10"/>
        <v>0</v>
      </c>
      <c r="T58" s="195">
        <f t="shared" si="10"/>
        <v>0</v>
      </c>
      <c r="U58" s="304">
        <f t="shared" si="10"/>
        <v>45.49999999999999</v>
      </c>
      <c r="V58" s="305">
        <f t="shared" si="2"/>
        <v>4306.6</v>
      </c>
      <c r="W58" s="198">
        <f t="shared" si="3"/>
        <v>948.988496</v>
      </c>
      <c r="X58" s="306">
        <f>SUM(X53:X57)</f>
        <v>494.28849599999995</v>
      </c>
      <c r="Y58" s="306">
        <f>SUM(Y53:Y57)</f>
        <v>12.6</v>
      </c>
      <c r="Z58" s="307">
        <f>SUM(Z53:Z57)</f>
        <v>50</v>
      </c>
      <c r="AA58" s="306">
        <f>SUM(AA53:AA57)</f>
        <v>372.1</v>
      </c>
      <c r="AB58" s="306">
        <f>SUM(AB53:AB57)</f>
        <v>20</v>
      </c>
      <c r="AC58" s="307">
        <f>W58+V58</f>
        <v>5255.588496</v>
      </c>
      <c r="AD58" s="186" t="s">
        <v>46</v>
      </c>
      <c r="AE58" s="114"/>
      <c r="AF58" s="115"/>
    </row>
    <row r="59" spans="1:32" ht="19.5" thickBot="1">
      <c r="A59" s="308"/>
      <c r="B59" s="309" t="s">
        <v>142</v>
      </c>
      <c r="C59" s="310"/>
      <c r="D59" s="311"/>
      <c r="E59" s="312"/>
      <c r="F59" s="313"/>
      <c r="G59" s="313"/>
      <c r="H59" s="313"/>
      <c r="I59" s="314">
        <f t="shared" si="0"/>
        <v>0</v>
      </c>
      <c r="J59" s="315"/>
      <c r="K59" s="316"/>
      <c r="L59" s="317"/>
      <c r="M59" s="318">
        <f t="shared" si="1"/>
        <v>985.3000000000001</v>
      </c>
      <c r="N59" s="319">
        <f>530.2+255.1</f>
        <v>785.3000000000001</v>
      </c>
      <c r="O59" s="319"/>
      <c r="P59" s="320"/>
      <c r="Q59" s="319"/>
      <c r="R59" s="319">
        <v>200</v>
      </c>
      <c r="S59" s="321"/>
      <c r="T59" s="322"/>
      <c r="U59" s="323"/>
      <c r="V59" s="324">
        <f>M59</f>
        <v>985.3000000000001</v>
      </c>
      <c r="W59" s="176"/>
      <c r="X59" s="325"/>
      <c r="Y59" s="326"/>
      <c r="Z59" s="326"/>
      <c r="AA59" s="326"/>
      <c r="AB59" s="326"/>
      <c r="AC59" s="179">
        <f t="shared" si="5"/>
        <v>985.3000000000001</v>
      </c>
      <c r="AD59" s="327"/>
      <c r="AE59" s="114"/>
      <c r="AF59" s="115"/>
    </row>
    <row r="60" spans="2:32" ht="19.5" thickBot="1">
      <c r="B60" s="328" t="s">
        <v>143</v>
      </c>
      <c r="C60" s="329"/>
      <c r="D60" s="329"/>
      <c r="E60" s="329"/>
      <c r="F60" s="329"/>
      <c r="G60" s="329"/>
      <c r="H60" s="329"/>
      <c r="I60" s="329"/>
      <c r="J60" s="330"/>
      <c r="K60" s="331">
        <f>K62</f>
        <v>108131</v>
      </c>
      <c r="L60" s="332"/>
      <c r="M60" s="333">
        <f>SUM(N60:T60)</f>
        <v>12772.6</v>
      </c>
      <c r="N60" s="334">
        <f>N59+N58+N52+N19</f>
        <v>1769.6000000000001</v>
      </c>
      <c r="O60" s="334">
        <f aca="true" t="shared" si="11" ref="O60:T60">O59+O58+O52+O19</f>
        <v>617.3</v>
      </c>
      <c r="P60" s="334">
        <f t="shared" si="11"/>
        <v>0</v>
      </c>
      <c r="Q60" s="334">
        <f t="shared" si="11"/>
        <v>9380.7</v>
      </c>
      <c r="R60" s="334">
        <f t="shared" si="11"/>
        <v>200</v>
      </c>
      <c r="S60" s="334">
        <f t="shared" si="11"/>
        <v>805</v>
      </c>
      <c r="T60" s="335">
        <f t="shared" si="11"/>
        <v>0</v>
      </c>
      <c r="U60" s="336">
        <f>U59+U58+U52+U19</f>
        <v>2294.0999999999995</v>
      </c>
      <c r="V60" s="337">
        <f>V59+V58+V52+V19</f>
        <v>123197.69999999998</v>
      </c>
      <c r="W60" s="338">
        <f aca="true" t="shared" si="12" ref="W60:AB60">W58+W52+W19</f>
        <v>15086.4166945</v>
      </c>
      <c r="X60" s="338">
        <f t="shared" si="12"/>
        <v>5671.416694500001</v>
      </c>
      <c r="Y60" s="338">
        <f t="shared" si="12"/>
        <v>642</v>
      </c>
      <c r="Z60" s="339"/>
      <c r="AA60" s="338">
        <f t="shared" si="12"/>
        <v>8091</v>
      </c>
      <c r="AB60" s="338">
        <f t="shared" si="12"/>
        <v>182</v>
      </c>
      <c r="AC60" s="340">
        <f>V60+X60</f>
        <v>128869.11669449999</v>
      </c>
      <c r="AD60" s="341"/>
      <c r="AE60" s="114"/>
      <c r="AF60" s="115"/>
    </row>
    <row r="61" spans="1:32" ht="17.25" customHeight="1" thickBot="1">
      <c r="A61" s="342"/>
      <c r="B61" s="343" t="s">
        <v>144</v>
      </c>
      <c r="C61" s="344"/>
      <c r="D61" s="345"/>
      <c r="E61" s="346"/>
      <c r="F61" s="347"/>
      <c r="G61" s="347"/>
      <c r="H61" s="347"/>
      <c r="I61" s="348">
        <f t="shared" si="0"/>
        <v>0</v>
      </c>
      <c r="J61" s="349"/>
      <c r="K61" s="189"/>
      <c r="L61" s="350"/>
      <c r="M61" s="351">
        <f>(M63+M64)-M60</f>
        <v>55.19999999999891</v>
      </c>
      <c r="N61" s="352"/>
      <c r="O61" s="352"/>
      <c r="P61" s="352"/>
      <c r="Q61" s="353"/>
      <c r="R61" s="354"/>
      <c r="S61" s="355"/>
      <c r="T61" s="356"/>
      <c r="U61" s="357">
        <f>U63-U60</f>
        <v>126.00000000000045</v>
      </c>
      <c r="V61" s="358">
        <f>M61+U61</f>
        <v>181.19999999999936</v>
      </c>
      <c r="W61" s="359"/>
      <c r="X61" s="360"/>
      <c r="Y61" s="361"/>
      <c r="Z61" s="362"/>
      <c r="AA61" s="362"/>
      <c r="AB61" s="362"/>
      <c r="AC61" s="363">
        <f>W61+V61</f>
        <v>181.19999999999936</v>
      </c>
      <c r="AD61" s="364" t="s">
        <v>46</v>
      </c>
      <c r="AE61" s="114"/>
      <c r="AF61" s="115"/>
    </row>
    <row r="62" spans="1:32" ht="15" customHeight="1" thickBot="1">
      <c r="A62" s="365">
        <v>49</v>
      </c>
      <c r="B62" s="366" t="s">
        <v>145</v>
      </c>
      <c r="C62" s="367"/>
      <c r="D62" s="368"/>
      <c r="E62" s="369"/>
      <c r="F62" s="370">
        <f>F58+F52+F19</f>
        <v>4773</v>
      </c>
      <c r="G62" s="370">
        <f>G58+G52+G19</f>
        <v>5898</v>
      </c>
      <c r="H62" s="370">
        <f>H58+H52+H19</f>
        <v>987</v>
      </c>
      <c r="I62" s="371">
        <f t="shared" si="0"/>
        <v>11658</v>
      </c>
      <c r="J62" s="372">
        <f>J58+J52+J19</f>
        <v>10683</v>
      </c>
      <c r="K62" s="373">
        <f>K58+K52+K19+K59</f>
        <v>108131</v>
      </c>
      <c r="L62" s="374">
        <f>L58+L52+L19</f>
        <v>0</v>
      </c>
      <c r="M62" s="375">
        <f>M61+M59+M58+M52+M19</f>
        <v>12827.8</v>
      </c>
      <c r="N62" s="375">
        <f aca="true" t="shared" si="13" ref="N62:S62">N61+N59+N52+N19</f>
        <v>1769.6000000000001</v>
      </c>
      <c r="O62" s="375">
        <f t="shared" si="13"/>
        <v>617.3</v>
      </c>
      <c r="P62" s="375">
        <f t="shared" si="13"/>
        <v>0</v>
      </c>
      <c r="Q62" s="375">
        <f t="shared" si="13"/>
        <v>9140.7</v>
      </c>
      <c r="R62" s="375">
        <f t="shared" si="13"/>
        <v>200</v>
      </c>
      <c r="S62" s="375">
        <f t="shared" si="13"/>
        <v>805</v>
      </c>
      <c r="T62" s="376">
        <f>T58+T52+T19</f>
        <v>0</v>
      </c>
      <c r="U62" s="377">
        <f>U58+U52+U19+U61</f>
        <v>2420.1</v>
      </c>
      <c r="V62" s="378">
        <f>V19+V52+V58+V59+V61</f>
        <v>123378.9</v>
      </c>
      <c r="W62" s="379">
        <f t="shared" si="3"/>
        <v>15086.4166945</v>
      </c>
      <c r="X62" s="380">
        <f>X58+X52+X19</f>
        <v>5671.416694500001</v>
      </c>
      <c r="Y62" s="381">
        <f>Y58+Y52+Y19</f>
        <v>642</v>
      </c>
      <c r="Z62" s="381">
        <f>Z58+Z52+Z19</f>
        <v>500</v>
      </c>
      <c r="AA62" s="381">
        <f>AA58+AA52+AA19</f>
        <v>8091</v>
      </c>
      <c r="AB62" s="381">
        <f>AB58+AB52+AB19</f>
        <v>182</v>
      </c>
      <c r="AC62" s="380">
        <f>W62+V62</f>
        <v>138465.31669449998</v>
      </c>
      <c r="AD62" s="382" t="s">
        <v>46</v>
      </c>
      <c r="AE62" s="114">
        <f>SUM(AE7:AE61)</f>
        <v>127669.869418</v>
      </c>
      <c r="AF62" s="383">
        <f>SUM(AF7:AF61)+AF55+AF48</f>
        <v>-9614.995077000003</v>
      </c>
    </row>
    <row r="63" spans="1:29" ht="15.75" thickBot="1">
      <c r="A63" s="384" t="s">
        <v>146</v>
      </c>
      <c r="L63" s="385" t="s">
        <v>147</v>
      </c>
      <c r="M63" s="386">
        <v>10456</v>
      </c>
      <c r="N63" s="387" t="s">
        <v>148</v>
      </c>
      <c r="O63" s="388"/>
      <c r="P63" s="388"/>
      <c r="Q63" s="388"/>
      <c r="R63" s="388"/>
      <c r="S63" s="389"/>
      <c r="U63" s="390">
        <v>2420.1</v>
      </c>
      <c r="V63" s="391" t="s">
        <v>149</v>
      </c>
      <c r="W63" s="392"/>
      <c r="X63" s="393">
        <v>5671.4</v>
      </c>
      <c r="Y63" s="394" t="s">
        <v>150</v>
      </c>
      <c r="Z63" s="394"/>
      <c r="AA63" s="394"/>
      <c r="AB63" s="394"/>
      <c r="AC63" s="395"/>
    </row>
    <row r="64" spans="1:29" ht="16.5" thickBot="1">
      <c r="A64" s="384"/>
      <c r="L64" s="385" t="s">
        <v>147</v>
      </c>
      <c r="M64" s="396">
        <v>2371.8</v>
      </c>
      <c r="N64" s="387" t="s">
        <v>151</v>
      </c>
      <c r="O64" s="388"/>
      <c r="P64" s="388"/>
      <c r="Q64" s="388"/>
      <c r="R64" s="388"/>
      <c r="S64" s="389"/>
      <c r="U64" s="397"/>
      <c r="V64" s="398"/>
      <c r="W64" s="397"/>
      <c r="X64" s="399"/>
      <c r="Y64" s="399"/>
      <c r="Z64" s="399"/>
      <c r="AA64" s="399"/>
      <c r="AB64" s="399"/>
      <c r="AC64" s="399"/>
    </row>
    <row r="65" spans="12:19" ht="19.5" thickBot="1">
      <c r="L65" s="400" t="s">
        <v>147</v>
      </c>
      <c r="M65" s="401">
        <f>'[1]BUGETUL_2014'!V60</f>
        <v>631.8251478750099</v>
      </c>
      <c r="N65" s="402" t="s">
        <v>152</v>
      </c>
      <c r="O65" s="402"/>
      <c r="P65" s="402"/>
      <c r="Q65" s="402"/>
      <c r="R65" s="402"/>
      <c r="S65" s="403"/>
    </row>
    <row r="66" spans="2:19" ht="20.25" thickBot="1">
      <c r="B66" s="151"/>
      <c r="L66" s="400" t="s">
        <v>147</v>
      </c>
      <c r="M66" s="404">
        <f>M63+M64</f>
        <v>12827.8</v>
      </c>
      <c r="N66" s="405" t="s">
        <v>153</v>
      </c>
      <c r="O66" s="405"/>
      <c r="P66" s="405"/>
      <c r="Q66" s="405"/>
      <c r="R66" s="405"/>
      <c r="S66" s="406"/>
    </row>
    <row r="67" spans="13:23" ht="15.75" thickBot="1">
      <c r="M67" s="407" t="s">
        <v>154</v>
      </c>
      <c r="N67" s="408" t="s">
        <v>155</v>
      </c>
      <c r="O67" s="409"/>
      <c r="P67" s="409"/>
      <c r="Q67" s="409">
        <v>3712.8</v>
      </c>
      <c r="R67" s="409" t="s">
        <v>147</v>
      </c>
      <c r="S67" s="410"/>
      <c r="T67" s="411"/>
      <c r="U67" s="407" t="s">
        <v>156</v>
      </c>
      <c r="V67" s="412">
        <v>1820.8</v>
      </c>
      <c r="W67" s="413" t="s">
        <v>157</v>
      </c>
    </row>
    <row r="68" spans="13:23" ht="15.75" thickBot="1">
      <c r="M68" s="414"/>
      <c r="N68" s="415" t="s">
        <v>158</v>
      </c>
      <c r="O68" s="416"/>
      <c r="P68" s="416"/>
      <c r="Q68" s="416">
        <v>8589.4</v>
      </c>
      <c r="R68" s="416" t="s">
        <v>147</v>
      </c>
      <c r="S68" s="417"/>
      <c r="T68" s="418"/>
      <c r="U68" s="414"/>
      <c r="V68" s="419">
        <f>39.8+25.9+25.9+120</f>
        <v>211.6</v>
      </c>
      <c r="W68" s="420" t="s">
        <v>157</v>
      </c>
    </row>
    <row r="69" spans="13:23" ht="15.75" thickBot="1">
      <c r="M69" s="414"/>
      <c r="N69" s="421" t="s">
        <v>159</v>
      </c>
      <c r="O69" s="422"/>
      <c r="P69" s="422"/>
      <c r="Q69" s="422">
        <f>455.1+8.5+6.8</f>
        <v>470.40000000000003</v>
      </c>
      <c r="R69" s="422" t="s">
        <v>147</v>
      </c>
      <c r="S69" s="423"/>
      <c r="T69" s="418"/>
      <c r="U69" s="414"/>
      <c r="V69" s="424">
        <f>130.3+131.2</f>
        <v>261.5</v>
      </c>
      <c r="W69" s="425" t="s">
        <v>157</v>
      </c>
    </row>
    <row r="70" spans="13:23" ht="15.75" thickBot="1">
      <c r="M70" s="414"/>
      <c r="N70" s="426"/>
      <c r="O70" s="427"/>
      <c r="P70" s="427"/>
      <c r="Q70" s="427"/>
      <c r="R70" s="427" t="s">
        <v>147</v>
      </c>
      <c r="S70" s="425"/>
      <c r="T70" s="428"/>
      <c r="U70" s="414"/>
      <c r="V70" s="424"/>
      <c r="W70" s="425" t="s">
        <v>157</v>
      </c>
    </row>
    <row r="71" spans="13:23" ht="15.75" thickBot="1">
      <c r="M71" s="414"/>
      <c r="N71" s="429"/>
      <c r="O71" s="430"/>
      <c r="P71" s="430"/>
      <c r="Q71" s="431"/>
      <c r="R71" s="431"/>
      <c r="S71" s="432"/>
      <c r="T71" s="433"/>
      <c r="U71" s="414"/>
      <c r="V71" s="424"/>
      <c r="W71" s="425" t="s">
        <v>157</v>
      </c>
    </row>
    <row r="72" spans="13:23" ht="19.5" thickBot="1">
      <c r="M72" s="434"/>
      <c r="N72" s="435" t="s">
        <v>160</v>
      </c>
      <c r="O72" s="436"/>
      <c r="P72" s="436"/>
      <c r="Q72" s="437">
        <f>M66-Q67-Q68-Q69-Q70-Q71</f>
        <v>55.20000000000033</v>
      </c>
      <c r="R72" s="438" t="s">
        <v>147</v>
      </c>
      <c r="S72" s="439"/>
      <c r="T72" s="439"/>
      <c r="U72" s="434"/>
      <c r="V72" s="440">
        <f>U63-V67-V68-V69-V70-V71</f>
        <v>126.19999999999993</v>
      </c>
      <c r="W72" s="441" t="s">
        <v>157</v>
      </c>
    </row>
    <row r="73" ht="15">
      <c r="Q73" s="442"/>
    </row>
  </sheetData>
  <sheetProtection/>
  <mergeCells count="25">
    <mergeCell ref="B62:C62"/>
    <mergeCell ref="M67:M72"/>
    <mergeCell ref="U67:U72"/>
    <mergeCell ref="W3:AB4"/>
    <mergeCell ref="AC3:AC5"/>
    <mergeCell ref="AD3:AD5"/>
    <mergeCell ref="L4:L5"/>
    <mergeCell ref="M4:T4"/>
    <mergeCell ref="B60:J60"/>
    <mergeCell ref="I3:I5"/>
    <mergeCell ref="J3:J5"/>
    <mergeCell ref="K3:K5"/>
    <mergeCell ref="L3:T3"/>
    <mergeCell ref="U3:U5"/>
    <mergeCell ref="V3:V5"/>
    <mergeCell ref="B2:I2"/>
    <mergeCell ref="N2:T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1496062992125984" right="0" top="0.15748031496062992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dcterms:created xsi:type="dcterms:W3CDTF">2015-11-06T14:51:06Z</dcterms:created>
  <dcterms:modified xsi:type="dcterms:W3CDTF">2015-11-06T14:54:12Z</dcterms:modified>
  <cp:category/>
  <cp:version/>
  <cp:contentType/>
  <cp:contentStatus/>
</cp:coreProperties>
</file>